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165" windowHeight="3120" activeTab="3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  <sheet name="Sheet1 (2)" sheetId="5" r:id="rId5"/>
  </sheet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<sst xmlns="http://schemas.openxmlformats.org/spreadsheetml/2006/main" count="446" uniqueCount="329">
  <si>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</si>
  <si>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</si>
  <si>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</si>
  <si>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</si>
  <si>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</si>
  <si>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</si>
  <si>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</si>
  <si>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</si>
  <si>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</si>
  <si>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</si>
  <si>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</si>
  <si>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</si>
  <si>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</si>
  <si>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</si>
  <si>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</si>
  <si>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</si>
  <si>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</si>
  <si>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</si>
  <si>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</si>
  <si>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</si>
  <si>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</si>
  <si>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</si>
  <si>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</si>
  <si>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</si>
  <si>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</si>
  <si>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</si>
  <si>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</si>
  <si>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</si>
  <si>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</si>
  <si>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</si>
  <si>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</si>
  <si>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</si>
  <si>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</si>
  <si>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</si>
  <si>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</si>
  <si>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</si>
  <si>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</si>
  <si>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</si>
  <si>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</si>
  <si>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</si>
  <si>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</si>
  <si>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</si>
  <si>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</si>
  <si>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</si>
  <si>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</si>
  <si>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</si>
  <si>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</si>
  <si>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</si>
  <si>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</si>
  <si>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</si>
  <si>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</si>
  <si>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</si>
  <si>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</si>
  <si>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</si>
  <si>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</si>
  <si>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</si>
  <si>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</si>
  <si>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</si>
  <si>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</si>
  <si>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</si>
  <si>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</si>
  <si>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</si>
  <si>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</si>
  <si>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</si>
  <si>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</si>
  <si>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</si>
  <si>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</si>
  <si>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</si>
  <si>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</si>
  <si>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</si>
  <si>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</si>
  <si>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</si>
  <si>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</si>
  <si>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</si>
  <si>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</si>
  <si>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</si>
  <si>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</si>
  <si>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</si>
  <si>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</si>
  <si>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</si>
  <si>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</si>
  <si>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</si>
  <si>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</si>
  <si>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</si>
  <si>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</si>
  <si>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</si>
  <si>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</si>
  <si>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</si>
  <si>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</si>
  <si>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</si>
  <si>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</si>
  <si>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</si>
  <si>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</si>
  <si>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</si>
  <si>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</si>
  <si>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</si>
  <si>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</si>
  <si>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</si>
  <si>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</si>
  <si>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</si>
  <si>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</si>
  <si>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</si>
  <si>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</si>
  <si>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</si>
  <si>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</si>
  <si>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</si>
  <si>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</si>
  <si>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</si>
  <si>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</si>
  <si>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</si>
  <si>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</si>
  <si>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</si>
  <si>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</si>
  <si>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</si>
  <si>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</si>
  <si>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</si>
  <si>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</si>
  <si>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</si>
  <si>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</si>
  <si>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</si>
  <si>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</si>
  <si>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</si>
  <si>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</si>
  <si>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</si>
  <si>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</si>
  <si>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</si>
  <si>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</si>
  <si>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</si>
  <si>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</si>
  <si>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</si>
  <si>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</si>
  <si>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</si>
  <si>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</si>
  <si>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</si>
  <si>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</si>
  <si>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</si>
  <si>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</si>
  <si>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</si>
  <si>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</si>
  <si>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</si>
  <si>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</si>
  <si>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</si>
  <si>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</si>
  <si>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</si>
  <si>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</si>
  <si>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</si>
  <si>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</si>
  <si>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ค่าที่ดินและสิ่งก่อสร้างเงินอุดหนุนทั่วไปเพื่อพัฒนาประเทศ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</si>
  <si>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</si>
  <si>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</si>
  <si>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</si>
  <si>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</si>
  <si>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</si>
  <si>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</si>
  <si>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</si>
  <si>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</si>
  <si>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</si>
  <si>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</si>
  <si>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</si>
  <si>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</si>
  <si>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</si>
  <si>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</si>
  <si>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</si>
  <si>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</si>
  <si>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</si>
  <si>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</si>
  <si>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</si>
  <si>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</si>
  <si>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</si>
  <si>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</si>
  <si>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</si>
  <si>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</si>
  <si>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</si>
  <si>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</si>
  <si>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</si>
  <si>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</si>
  <si>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</si>
  <si>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</si>
  <si>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</si>
  <si>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</si>
  <si>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</si>
  <si>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</si>
  <si>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</si>
  <si>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</si>
  <si>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</si>
  <si>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</si>
  <si>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</si>
  <si>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</si>
  <si>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</si>
  <si>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</si>
  <si>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</si>
  <si>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</si>
  <si>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</si>
  <si>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</si>
  <si>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</si>
  <si>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</si>
  <si>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</si>
  <si>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</si>
  <si>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</si>
  <si>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</si>
  <si>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</si>
  <si>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</si>
  <si>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</si>
  <si>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</si>
  <si>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</si>
  <si>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</si>
  <si>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</si>
  <si>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</si>
  <si>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</si>
  <si>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</si>
  <si>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</si>
  <si>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</si>
  <si>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</si>
  <si>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</si>
  <si>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</si>
  <si>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</si>
  <si>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</si>
  <si>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</si>
  <si>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</si>
  <si>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</si>
  <si>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</si>
  <si>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</si>
  <si>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</si>
  <si>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</si>
  <si>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>ปี  2558</t>
  </si>
  <si>
    <t>ปี  2559</t>
  </si>
  <si>
    <t>หมู่ที่</t>
  </si>
  <si>
    <t>ชื่อ</t>
  </si>
  <si>
    <t>นางวรรณา  พรหมเพชร</t>
  </si>
  <si>
    <t>นางนงเยาว์  ขุนสิทธิ์</t>
  </si>
  <si>
    <t>นายสัมฤทธิ์  นาควงศ์</t>
  </si>
  <si>
    <t>นายศักดิ์ชัย  ทิพย์จักษุ</t>
  </si>
  <si>
    <t>นางสมรัก  ทิพย์จักษุ</t>
  </si>
  <si>
    <t>นายโสภล  ช่วยจันทร์</t>
  </si>
  <si>
    <t>นายวิชิต  ยอดมณี</t>
  </si>
  <si>
    <t>นายสมพร  หีดนุ้ย</t>
  </si>
  <si>
    <t>นายปรีดา  ไชยเพชร</t>
  </si>
  <si>
    <t>นายธีระพล  อุบลสวัสดิ์</t>
  </si>
  <si>
    <t>นายอุดม  เอียดน้อย</t>
  </si>
  <si>
    <t>นางลิดา  ปรีชา</t>
  </si>
  <si>
    <t>นางหนูลัย  บริพันธ์</t>
  </si>
  <si>
    <t>นายทวี  อานนท์</t>
  </si>
  <si>
    <t>นางสุคนทิพย์  สั่งสัพพันธ์</t>
  </si>
  <si>
    <t>นายพงศธร  บัวกรด</t>
  </si>
  <si>
    <t>นายสุวรรณ์  จะรา</t>
  </si>
  <si>
    <t>นายสมหมาย  หนูช่วย</t>
  </si>
  <si>
    <t>บจก.บีเอฟเคที</t>
  </si>
  <si>
    <t>นายวัชรา  ดิษฐรักษ์</t>
  </si>
  <si>
    <t>นายอำพล  บุญนำ</t>
  </si>
  <si>
    <t>นายมิตรชัย  พรหมจันทร์</t>
  </si>
  <si>
    <t>นายอุทัย  สุดสาย</t>
  </si>
  <si>
    <t>นางมะลิ  จันทะโร</t>
  </si>
  <si>
    <t>นางไพจิตร  สมเคราะห์</t>
  </si>
  <si>
    <t>นายสุรินทร์  ชิดเชี่ยว</t>
  </si>
  <si>
    <t>นายธนากร  แสงแก้ว</t>
  </si>
  <si>
    <t>นายสุวิทย์  จิตแจ่ม</t>
  </si>
  <si>
    <t>บมจ.โทเทิล  แอ็คเซ็ลฯ</t>
  </si>
  <si>
    <t>บจก.  ทรูทูฟ</t>
  </si>
  <si>
    <t>นางวรรณา  ศรีสว่าง</t>
  </si>
  <si>
    <t>น.ส.อโณทัย  หนูจันทร์แก้ง</t>
  </si>
  <si>
    <t>นายสวัสดิ์  ปรีชา</t>
  </si>
  <si>
    <t>นายเสงียม  จันทร์สุข</t>
  </si>
  <si>
    <t>นางยุภารัตน์  รักษ์วงศ์</t>
  </si>
  <si>
    <t>นางจารึก  สองศรี</t>
  </si>
  <si>
    <t>บจก.แฟกซ์ไลน์</t>
  </si>
  <si>
    <t>นางเตือนใจ  เจริญ</t>
  </si>
  <si>
    <t>นายสมเกียรติ  ประพันธ์</t>
  </si>
  <si>
    <t>นางสายใจ  ไชยชาญ</t>
  </si>
  <si>
    <t>นายสุทิน  แสงมณี</t>
  </si>
  <si>
    <t>น.ส.สุฑารัตน์  โสดา</t>
  </si>
  <si>
    <t>นายสมบัติ  พลายแก้ว</t>
  </si>
  <si>
    <t>นายศิลป์ชัย  ปรีชา</t>
  </si>
  <si>
    <t>ลำดับเล่ม  12</t>
  </si>
  <si>
    <t>นางแจ่มนภา  ชื่นชม</t>
  </si>
  <si>
    <t>นายบัญชากร  ศรีอินทร์</t>
  </si>
  <si>
    <t>นายคเชนทร์  เสนามิตร</t>
  </si>
  <si>
    <t>นายสมชาย  พลพร</t>
  </si>
  <si>
    <t>นางสรญา  คำนุ่น</t>
  </si>
  <si>
    <t>นายสุพจน์  สาระพงศ์</t>
  </si>
  <si>
    <t>นางวรรณา  สิทธิฤทธิ์</t>
  </si>
  <si>
    <t>นางจรัสศรี  ชุมณี</t>
  </si>
  <si>
    <t>นายสนไชย  สวนกูล</t>
  </si>
  <si>
    <t>นายปรีดา  ทะเดช</t>
  </si>
  <si>
    <t>นางนาตญา  พรหมขวัญ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</si>
  <si>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</si>
  <si>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</si>
  <si>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</si>
  <si>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</si>
  <si>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</si>
  <si>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</si>
  <si>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</si>
  <si>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</si>
  <si>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</si>
  <si>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</si>
  <si>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</si>
  <si>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</si>
  <si>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</si>
  <si>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</si>
  <si>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</si>
  <si>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</si>
  <si>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</si>
  <si>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</si>
  <si>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</si>
  <si>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</si>
  <si>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</si>
  <si>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</si>
  <si>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</si>
  <si>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</si>
  <si>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</si>
  <si>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</si>
  <si>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</si>
  <si>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</si>
  <si>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</si>
  <si>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</si>
  <si>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</si>
  <si>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</si>
  <si>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</si>
  <si>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</si>
  <si>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</si>
  <si>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</si>
  <si>
    <t>ปีงบประมาณ  2560   ประจำเดือนธันวาคม  พ.ศ.  2559</t>
  </si>
  <si>
    <t>ประจำเดือนธันวาคม  2559</t>
  </si>
  <si>
    <t>ณ วันที่  31  ธันวาคม  2559</t>
  </si>
  <si>
    <t>รับคืนใบสำคัญ</t>
  </si>
  <si>
    <t>รับคืนเงินสด</t>
  </si>
  <si>
    <t>ลูกหนี้-เงินยืมเงินงบประมาณ  (1)</t>
  </si>
  <si>
    <t>ลูกหนี้-เงินยืมเงินงบประมาณ  (2)</t>
  </si>
  <si>
    <t>ปีงบประมาณ  2560  เดือนธันวาคม  2559</t>
  </si>
  <si>
    <t>7.  สปสช.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</si>
</sst>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94" fontId="8" fillId="0" borderId="14" xfId="33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94" fontId="8" fillId="0" borderId="14" xfId="33" applyFont="1" applyBorder="1" applyAlignment="1">
      <alignment horizontal="left"/>
    </xf>
    <xf numFmtId="194" fontId="8" fillId="0" borderId="0" xfId="33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48" fillId="0" borderId="0" xfId="33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/>
    </xf>
    <xf numFmtId="194" fontId="9" fillId="0" borderId="0" xfId="33" applyFont="1" applyBorder="1" applyAlignment="1">
      <alignment horizontal="left"/>
    </xf>
    <xf numFmtId="194" fontId="8" fillId="0" borderId="0" xfId="33" applyFont="1" applyBorder="1" applyAlignment="1">
      <alignment horizontal="left"/>
    </xf>
    <xf numFmtId="194" fontId="9" fillId="0" borderId="0" xfId="33" applyFont="1" applyBorder="1" applyAlignment="1">
      <alignment/>
    </xf>
    <xf numFmtId="194" fontId="8" fillId="0" borderId="0" xfId="33" applyFont="1" applyBorder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4" xfId="49" applyFont="1" applyBorder="1" applyAlignment="1">
      <alignment horizontal="center"/>
      <protection/>
    </xf>
    <xf numFmtId="43" fontId="12" fillId="0" borderId="14" xfId="43" applyFont="1" applyBorder="1" applyAlignment="1">
      <alignment horizontal="center"/>
    </xf>
    <xf numFmtId="0" fontId="13" fillId="0" borderId="14" xfId="49" applyFont="1" applyBorder="1">
      <alignment/>
      <protection/>
    </xf>
    <xf numFmtId="43" fontId="13" fillId="0" borderId="14" xfId="43" applyFont="1" applyBorder="1" applyAlignment="1">
      <alignment/>
    </xf>
    <xf numFmtId="43" fontId="13" fillId="0" borderId="13" xfId="43" applyFont="1" applyBorder="1" applyAlignment="1">
      <alignment/>
    </xf>
    <xf numFmtId="0" fontId="12" fillId="0" borderId="23" xfId="49" applyFont="1" applyBorder="1">
      <alignment/>
      <protection/>
    </xf>
    <xf numFmtId="43" fontId="12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43" fontId="12" fillId="0" borderId="0" xfId="43" applyFont="1" applyBorder="1" applyAlignment="1">
      <alignment horizontal="center"/>
    </xf>
    <xf numFmtId="43" fontId="13" fillId="0" borderId="0" xfId="43" applyFont="1" applyBorder="1" applyAlignment="1">
      <alignment/>
    </xf>
    <xf numFmtId="43" fontId="12" fillId="0" borderId="0" xfId="49" applyNumberFormat="1" applyFont="1" applyBorder="1">
      <alignment/>
      <protection/>
    </xf>
    <xf numFmtId="43" fontId="13" fillId="0" borderId="21" xfId="43" applyFont="1" applyBorder="1" applyAlignment="1">
      <alignment/>
    </xf>
    <xf numFmtId="194" fontId="3" fillId="0" borderId="0" xfId="33" applyFont="1" applyAlignment="1">
      <alignment/>
    </xf>
    <xf numFmtId="194" fontId="2" fillId="0" borderId="0" xfId="33" applyFont="1" applyFill="1" applyAlignment="1">
      <alignment horizontal="center"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231" fontId="3" fillId="0" borderId="0" xfId="0" applyNumberFormat="1" applyFont="1" applyFill="1" applyAlignment="1">
      <alignment horizontal="center"/>
    </xf>
    <xf numFmtId="194" fontId="3" fillId="0" borderId="0" xfId="33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4"/>
  <sheetViews>
    <sheetView zoomScale="110" zoomScaleNormal="110" zoomScaleSheetLayoutView="100" workbookViewId="0" topLeftCell="A81">
      <selection activeCell="A41" sqref="A41:G89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00390625" style="6" bestFit="1" customWidth="1"/>
    <col min="9" max="9" width="15.7109375" style="6" bestFit="1" customWidth="1"/>
    <col min="10" max="10" width="16.140625" style="6" bestFit="1" customWidth="1"/>
    <col min="11" max="16384" width="12.57421875" style="6" customWidth="1"/>
  </cols>
  <sheetData>
    <row r="1" spans="1:7" ht="21.75" customHeight="1">
      <c r="A1" s="166" t="s">
        <v>148</v>
      </c>
      <c r="B1" s="166"/>
      <c r="C1" s="166"/>
      <c r="D1" s="166"/>
      <c r="E1" s="166"/>
      <c r="F1" s="166"/>
      <c r="G1" s="166"/>
    </row>
    <row r="2" spans="1:7" ht="21.75" customHeight="1">
      <c r="A2" s="166" t="s">
        <v>174</v>
      </c>
      <c r="B2" s="166"/>
      <c r="C2" s="166"/>
      <c r="D2" s="166"/>
      <c r="E2" s="166"/>
      <c r="F2" s="166"/>
      <c r="G2" s="166"/>
    </row>
    <row r="3" spans="1:7" ht="21.75" customHeight="1">
      <c r="A3" s="166" t="s">
        <v>320</v>
      </c>
      <c r="B3" s="166"/>
      <c r="C3" s="166"/>
      <c r="D3" s="166"/>
      <c r="E3" s="166"/>
      <c r="F3" s="166"/>
      <c r="G3" s="166"/>
    </row>
    <row r="4" spans="1:7" s="7" customFormat="1" ht="21.75" customHeight="1">
      <c r="A4" s="174" t="s">
        <v>12</v>
      </c>
      <c r="B4" s="175"/>
      <c r="C4" s="175"/>
      <c r="D4" s="176"/>
      <c r="E4" s="177" t="s">
        <v>14</v>
      </c>
      <c r="F4" s="180" t="s">
        <v>0</v>
      </c>
      <c r="G4" s="167" t="s">
        <v>153</v>
      </c>
    </row>
    <row r="5" spans="1:7" s="7" customFormat="1" ht="21.75" customHeight="1">
      <c r="A5" s="167" t="s">
        <v>149</v>
      </c>
      <c r="B5" s="167" t="s">
        <v>150</v>
      </c>
      <c r="C5" s="167" t="s">
        <v>151</v>
      </c>
      <c r="D5" s="170" t="s">
        <v>152</v>
      </c>
      <c r="E5" s="178"/>
      <c r="F5" s="181"/>
      <c r="G5" s="168"/>
    </row>
    <row r="6" spans="1:7" s="7" customFormat="1" ht="21.75" customHeight="1">
      <c r="A6" s="168"/>
      <c r="B6" s="168"/>
      <c r="C6" s="168"/>
      <c r="D6" s="171"/>
      <c r="E6" s="178"/>
      <c r="F6" s="181"/>
      <c r="G6" s="168"/>
    </row>
    <row r="7" spans="1:7" s="7" customFormat="1" ht="21.75" customHeight="1">
      <c r="A7" s="168"/>
      <c r="B7" s="168"/>
      <c r="C7" s="168"/>
      <c r="D7" s="171"/>
      <c r="E7" s="178"/>
      <c r="F7" s="181"/>
      <c r="G7" s="168"/>
    </row>
    <row r="8" spans="1:7" s="7" customFormat="1" ht="21.75" customHeight="1">
      <c r="A8" s="169"/>
      <c r="B8" s="169"/>
      <c r="C8" s="169"/>
      <c r="D8" s="172"/>
      <c r="E8" s="179"/>
      <c r="F8" s="182"/>
      <c r="G8" s="169"/>
    </row>
    <row r="9" spans="1:7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21665926.32</v>
      </c>
    </row>
    <row r="10" spans="1:7" ht="21.75" customHeight="1">
      <c r="A10" s="11"/>
      <c r="B10" s="11"/>
      <c r="C10" s="11"/>
      <c r="D10" s="3"/>
      <c r="E10" s="6" t="s">
        <v>154</v>
      </c>
      <c r="F10" s="10" t="s">
        <v>71</v>
      </c>
      <c r="G10" s="4"/>
    </row>
    <row r="11" spans="1:7" ht="21.75" customHeight="1">
      <c r="A11" s="12">
        <v>74600</v>
      </c>
      <c r="B11" s="12"/>
      <c r="C11" s="12">
        <f>+A11+B11</f>
        <v>74600</v>
      </c>
      <c r="D11" s="12">
        <f>106.8</f>
        <v>106.8</v>
      </c>
      <c r="E11" s="6" t="s">
        <v>155</v>
      </c>
      <c r="F11" s="10" t="s">
        <v>61</v>
      </c>
      <c r="G11" s="11">
        <v>0</v>
      </c>
    </row>
    <row r="12" spans="1:7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5060.79+39.4+662.65</f>
        <v>5762.839999999999</v>
      </c>
      <c r="E12" s="6" t="s">
        <v>156</v>
      </c>
      <c r="F12" s="10" t="s">
        <v>62</v>
      </c>
      <c r="G12" s="11">
        <f>26.65+636</f>
        <v>662.65</v>
      </c>
    </row>
    <row r="13" spans="1:7" ht="21.75" customHeight="1">
      <c r="A13" s="12">
        <v>101400</v>
      </c>
      <c r="B13" s="12"/>
      <c r="C13" s="12">
        <f t="shared" si="0"/>
        <v>101400</v>
      </c>
      <c r="D13" s="12">
        <f>40936.19</f>
        <v>40936.19</v>
      </c>
      <c r="E13" s="6" t="s">
        <v>157</v>
      </c>
      <c r="F13" s="10" t="s">
        <v>63</v>
      </c>
      <c r="G13" s="13">
        <v>40936.19</v>
      </c>
    </row>
    <row r="14" spans="1:7" ht="21.75" customHeight="1">
      <c r="A14" s="12">
        <v>4400</v>
      </c>
      <c r="B14" s="12"/>
      <c r="C14" s="12">
        <f t="shared" si="0"/>
        <v>4400</v>
      </c>
      <c r="D14" s="12">
        <f>10752+5672+9424</f>
        <v>25848</v>
      </c>
      <c r="E14" s="6" t="s">
        <v>208</v>
      </c>
      <c r="F14" s="10" t="s">
        <v>163</v>
      </c>
      <c r="G14" s="13">
        <v>9424</v>
      </c>
    </row>
    <row r="15" spans="1:7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158</v>
      </c>
      <c r="F15" s="10" t="s">
        <v>64</v>
      </c>
      <c r="G15" s="13">
        <v>0</v>
      </c>
    </row>
    <row r="16" spans="1:7" ht="21.75" customHeight="1">
      <c r="A16" s="12">
        <v>0</v>
      </c>
      <c r="B16" s="12"/>
      <c r="C16" s="12">
        <f t="shared" si="0"/>
        <v>0</v>
      </c>
      <c r="D16" s="12"/>
      <c r="E16" s="6" t="s">
        <v>159</v>
      </c>
      <c r="F16" s="10" t="s">
        <v>65</v>
      </c>
      <c r="G16" s="13"/>
    </row>
    <row r="17" spans="1:7" ht="21.75" customHeight="1">
      <c r="A17" s="12">
        <v>13836800</v>
      </c>
      <c r="B17" s="12"/>
      <c r="C17" s="12">
        <f t="shared" si="0"/>
        <v>13836800</v>
      </c>
      <c r="D17" s="12">
        <f>1193209.98+923924.04+1028915.03</f>
        <v>3146049.05</v>
      </c>
      <c r="E17" s="6" t="s">
        <v>160</v>
      </c>
      <c r="F17" s="10" t="s">
        <v>90</v>
      </c>
      <c r="G17" s="13">
        <f>675249.96+124219.02+66749.66+155452.39+7244</f>
        <v>1028915.03</v>
      </c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</f>
        <v>3509958</v>
      </c>
      <c r="E18" s="6" t="s">
        <v>161</v>
      </c>
      <c r="F18" s="10" t="s">
        <v>66</v>
      </c>
      <c r="G18" s="13">
        <v>0</v>
      </c>
    </row>
    <row r="19" spans="1:7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164</v>
      </c>
      <c r="G19" s="13"/>
    </row>
    <row r="20" spans="1:10" ht="21.75" customHeight="1">
      <c r="A20" s="12"/>
      <c r="B20" s="14"/>
      <c r="C20" s="12">
        <f t="shared" si="0"/>
        <v>0</v>
      </c>
      <c r="D20" s="14"/>
      <c r="E20" s="6" t="s">
        <v>162</v>
      </c>
      <c r="F20" s="10" t="s">
        <v>146</v>
      </c>
      <c r="G20" s="13"/>
      <c r="H20" s="57"/>
      <c r="I20" s="82"/>
      <c r="J20" s="37"/>
    </row>
    <row r="21" spans="1:10" s="7" customFormat="1" ht="21.75" customHeight="1">
      <c r="A21" s="99">
        <f>SUM(A11:A20)</f>
        <v>26900000</v>
      </c>
      <c r="B21" s="99">
        <f>SUM(B19:B20)</f>
        <v>0</v>
      </c>
      <c r="C21" s="99">
        <f>SUM(C11:C20)</f>
        <v>26900000</v>
      </c>
      <c r="D21" s="99">
        <f>SUM(D11:D20)</f>
        <v>6788660.88</v>
      </c>
      <c r="E21" s="100" t="s">
        <v>11</v>
      </c>
      <c r="F21" s="18"/>
      <c r="G21" s="101">
        <f>SUM(G11:G20)</f>
        <v>1079937.87</v>
      </c>
      <c r="H21" s="102"/>
      <c r="I21" s="103"/>
      <c r="J21" s="103"/>
    </row>
    <row r="22" spans="1:7" ht="21.75" customHeight="1">
      <c r="A22" s="20"/>
      <c r="B22" s="20"/>
      <c r="C22" s="20"/>
      <c r="D22" s="12">
        <f>529772.01+127069.17+66304.82</f>
        <v>723146</v>
      </c>
      <c r="E22" s="6" t="s">
        <v>165</v>
      </c>
      <c r="F22" s="10" t="s">
        <v>112</v>
      </c>
      <c r="G22" s="11">
        <f>9.52+11.43+1353.87+2330+62600</f>
        <v>66304.82</v>
      </c>
    </row>
    <row r="23" spans="1:10" ht="21.75" customHeight="1">
      <c r="A23" s="20"/>
      <c r="B23" s="20"/>
      <c r="C23" s="20"/>
      <c r="D23" s="12">
        <v>132000</v>
      </c>
      <c r="E23" s="6" t="s">
        <v>210</v>
      </c>
      <c r="F23" s="10" t="s">
        <v>106</v>
      </c>
      <c r="G23" s="11">
        <f>122000+5000+5000</f>
        <v>132000</v>
      </c>
      <c r="H23" s="6" t="s">
        <v>323</v>
      </c>
      <c r="J23" s="82">
        <f>17000000-I21</f>
        <v>17000000</v>
      </c>
    </row>
    <row r="24" spans="1:10" ht="21.75" customHeight="1">
      <c r="A24" s="20"/>
      <c r="B24" s="20"/>
      <c r="C24" s="20"/>
      <c r="D24" s="12">
        <v>78000</v>
      </c>
      <c r="E24" s="6" t="s">
        <v>211</v>
      </c>
      <c r="F24" s="10" t="s">
        <v>106</v>
      </c>
      <c r="G24" s="11">
        <v>78000</v>
      </c>
      <c r="H24" s="6" t="s">
        <v>324</v>
      </c>
      <c r="J24" s="57"/>
    </row>
    <row r="25" spans="1:7" ht="21.75" customHeight="1">
      <c r="A25" s="20"/>
      <c r="B25" s="20"/>
      <c r="C25" s="20"/>
      <c r="D25" s="12"/>
      <c r="E25" s="6" t="s">
        <v>44</v>
      </c>
      <c r="F25" s="10" t="s">
        <v>111</v>
      </c>
      <c r="G25" s="11"/>
    </row>
    <row r="26" spans="1:7" ht="21.75" customHeight="1">
      <c r="A26" s="20"/>
      <c r="B26" s="20"/>
      <c r="C26" s="20"/>
      <c r="D26" s="12">
        <f>65.3+169.46</f>
        <v>234.76</v>
      </c>
      <c r="E26" s="6" t="s">
        <v>59</v>
      </c>
      <c r="F26" s="10" t="s">
        <v>107</v>
      </c>
      <c r="G26" s="11">
        <v>169.46</v>
      </c>
    </row>
    <row r="27" spans="1:10" ht="21.75" customHeight="1" hidden="1">
      <c r="A27" s="20"/>
      <c r="B27" s="20"/>
      <c r="C27" s="20"/>
      <c r="D27" s="12"/>
      <c r="E27" s="6" t="s">
        <v>222</v>
      </c>
      <c r="F27" s="10" t="s">
        <v>223</v>
      </c>
      <c r="G27" s="11"/>
      <c r="J27" s="57"/>
    </row>
    <row r="28" spans="1:7" ht="24.75" customHeight="1" hidden="1">
      <c r="A28" s="20"/>
      <c r="B28" s="20"/>
      <c r="C28" s="20"/>
      <c r="D28" s="12"/>
      <c r="E28" s="6" t="s">
        <v>213</v>
      </c>
      <c r="F28" s="10" t="s">
        <v>214</v>
      </c>
      <c r="G28" s="11"/>
    </row>
    <row r="29" spans="1:7" ht="21.75" customHeight="1" hidden="1">
      <c r="A29" s="20"/>
      <c r="B29" s="20"/>
      <c r="C29" s="20"/>
      <c r="D29" s="12"/>
      <c r="E29" s="6" t="s">
        <v>215</v>
      </c>
      <c r="F29" s="10" t="s">
        <v>117</v>
      </c>
      <c r="G29" s="11"/>
    </row>
    <row r="30" spans="1:7" ht="21.75" customHeight="1" hidden="1">
      <c r="A30" s="20"/>
      <c r="B30" s="20"/>
      <c r="C30" s="20"/>
      <c r="D30" s="12"/>
      <c r="E30" s="6" t="s">
        <v>216</v>
      </c>
      <c r="F30" s="10" t="s">
        <v>217</v>
      </c>
      <c r="G30" s="11"/>
    </row>
    <row r="31" spans="1:7" ht="21.75" customHeight="1" hidden="1">
      <c r="A31" s="20"/>
      <c r="B31" s="20"/>
      <c r="C31" s="20"/>
      <c r="D31" s="12"/>
      <c r="E31" s="6" t="s">
        <v>218</v>
      </c>
      <c r="F31" s="10" t="s">
        <v>219</v>
      </c>
      <c r="G31" s="11"/>
    </row>
    <row r="32" spans="1:7" ht="21.75" customHeight="1" hidden="1">
      <c r="A32" s="20"/>
      <c r="B32" s="20"/>
      <c r="C32" s="20"/>
      <c r="D32" s="12"/>
      <c r="E32" s="6" t="s">
        <v>118</v>
      </c>
      <c r="F32" s="10" t="s">
        <v>119</v>
      </c>
      <c r="G32" s="11"/>
    </row>
    <row r="33" spans="1:7" ht="21.75" customHeight="1" hidden="1">
      <c r="A33" s="20"/>
      <c r="B33" s="20"/>
      <c r="C33" s="20"/>
      <c r="D33" s="12"/>
      <c r="E33" s="6" t="s">
        <v>109</v>
      </c>
      <c r="F33" s="10" t="s">
        <v>108</v>
      </c>
      <c r="G33" s="11"/>
    </row>
    <row r="34" spans="1:7" ht="21.75" customHeight="1" hidden="1">
      <c r="A34" s="20"/>
      <c r="B34" s="20"/>
      <c r="C34" s="20"/>
      <c r="D34" s="12"/>
      <c r="E34" s="6" t="s">
        <v>5</v>
      </c>
      <c r="F34" s="10" t="s">
        <v>105</v>
      </c>
      <c r="G34" s="11"/>
    </row>
    <row r="35" spans="1:7" ht="21.75" customHeight="1" hidden="1">
      <c r="A35" s="20"/>
      <c r="B35" s="20"/>
      <c r="C35" s="20"/>
      <c r="D35" s="12"/>
      <c r="E35" s="6" t="s">
        <v>122</v>
      </c>
      <c r="F35" s="10" t="s">
        <v>120</v>
      </c>
      <c r="G35" s="11"/>
    </row>
    <row r="36" spans="1:7" ht="21.75" customHeight="1">
      <c r="A36" s="20"/>
      <c r="B36" s="20"/>
      <c r="C36" s="20"/>
      <c r="D36" s="12"/>
      <c r="F36" s="10"/>
      <c r="G36" s="11"/>
    </row>
    <row r="37" spans="1:7" ht="21.75" customHeight="1">
      <c r="A37" s="12"/>
      <c r="B37" s="12"/>
      <c r="C37" s="12"/>
      <c r="D37" s="12"/>
      <c r="F37" s="10"/>
      <c r="G37" s="11"/>
    </row>
    <row r="38" spans="1:7" ht="21.75" customHeight="1">
      <c r="A38" s="11"/>
      <c r="B38" s="11"/>
      <c r="C38" s="11"/>
      <c r="D38" s="16">
        <f>SUM(D22:D37)</f>
        <v>933380.76</v>
      </c>
      <c r="E38" s="17" t="s">
        <v>11</v>
      </c>
      <c r="F38" s="10"/>
      <c r="G38" s="19">
        <f>SUM(G22:G37)</f>
        <v>276474.28</v>
      </c>
    </row>
    <row r="39" spans="1:9" ht="21.75" customHeight="1">
      <c r="A39" s="11"/>
      <c r="B39" s="11"/>
      <c r="C39" s="11"/>
      <c r="D39" s="16">
        <f>SUM(D21+D38)</f>
        <v>7722041.64</v>
      </c>
      <c r="E39" s="17" t="s">
        <v>17</v>
      </c>
      <c r="F39" s="10"/>
      <c r="G39" s="19">
        <f>SUM(G21+G38)</f>
        <v>1356412.1500000001</v>
      </c>
      <c r="I39" s="57"/>
    </row>
    <row r="40" spans="1:7" ht="21.75" customHeight="1">
      <c r="A40" s="21"/>
      <c r="B40" s="21"/>
      <c r="C40" s="21"/>
      <c r="D40" s="22"/>
      <c r="E40" s="17"/>
      <c r="F40" s="23"/>
      <c r="G40" s="21"/>
    </row>
    <row r="41" spans="1:8" s="7" customFormat="1" ht="21.75" customHeight="1">
      <c r="A41" s="174" t="s">
        <v>12</v>
      </c>
      <c r="B41" s="175"/>
      <c r="C41" s="175"/>
      <c r="D41" s="176"/>
      <c r="E41" s="177" t="s">
        <v>14</v>
      </c>
      <c r="F41" s="180" t="s">
        <v>0</v>
      </c>
      <c r="G41" s="167" t="s">
        <v>153</v>
      </c>
      <c r="H41" s="103"/>
    </row>
    <row r="42" spans="1:7" s="7" customFormat="1" ht="21.75" customHeight="1">
      <c r="A42" s="167" t="s">
        <v>149</v>
      </c>
      <c r="B42" s="167" t="s">
        <v>150</v>
      </c>
      <c r="C42" s="167" t="s">
        <v>151</v>
      </c>
      <c r="D42" s="170" t="s">
        <v>152</v>
      </c>
      <c r="E42" s="178"/>
      <c r="F42" s="181"/>
      <c r="G42" s="168"/>
    </row>
    <row r="43" spans="1:7" s="7" customFormat="1" ht="21.75" customHeight="1">
      <c r="A43" s="168"/>
      <c r="B43" s="168"/>
      <c r="C43" s="168"/>
      <c r="D43" s="171"/>
      <c r="E43" s="178"/>
      <c r="F43" s="181"/>
      <c r="G43" s="168"/>
    </row>
    <row r="44" spans="1:7" s="7" customFormat="1" ht="21.75" customHeight="1">
      <c r="A44" s="168"/>
      <c r="B44" s="168"/>
      <c r="C44" s="168"/>
      <c r="D44" s="171"/>
      <c r="E44" s="178"/>
      <c r="F44" s="181"/>
      <c r="G44" s="168"/>
    </row>
    <row r="45" spans="1:7" s="7" customFormat="1" ht="21.75" customHeight="1">
      <c r="A45" s="169"/>
      <c r="B45" s="169"/>
      <c r="C45" s="169"/>
      <c r="D45" s="172"/>
      <c r="E45" s="179"/>
      <c r="F45" s="182"/>
      <c r="G45" s="169"/>
    </row>
    <row r="46" spans="1:7" ht="21.75" customHeight="1">
      <c r="A46" s="24"/>
      <c r="B46" s="24"/>
      <c r="C46" s="24"/>
      <c r="D46" s="25"/>
      <c r="E46" s="26" t="s">
        <v>20</v>
      </c>
      <c r="F46" s="27"/>
      <c r="G46" s="8"/>
    </row>
    <row r="47" spans="1:9" ht="21.75" customHeight="1">
      <c r="A47" s="11">
        <v>6483530</v>
      </c>
      <c r="B47" s="11"/>
      <c r="C47" s="11">
        <f>+A47+B47</f>
        <v>6483530</v>
      </c>
      <c r="D47" s="28">
        <f>609661+466930+537630</f>
        <v>1614221</v>
      </c>
      <c r="E47" s="6" t="s">
        <v>18</v>
      </c>
      <c r="F47" s="10" t="s">
        <v>169</v>
      </c>
      <c r="G47" s="13">
        <v>537630</v>
      </c>
      <c r="H47" s="82"/>
      <c r="I47" s="82"/>
    </row>
    <row r="48" spans="1:8" ht="21.75" customHeight="1">
      <c r="A48" s="11">
        <v>2139120</v>
      </c>
      <c r="B48" s="11"/>
      <c r="C48" s="11">
        <f aca="true" t="shared" si="1" ref="C48:C58">+A48+B48</f>
        <v>2139120</v>
      </c>
      <c r="D48" s="28">
        <f>178260+178260+178260</f>
        <v>534780</v>
      </c>
      <c r="E48" s="6" t="s">
        <v>58</v>
      </c>
      <c r="F48" s="10" t="s">
        <v>48</v>
      </c>
      <c r="G48" s="13">
        <v>178260</v>
      </c>
      <c r="H48" s="82"/>
    </row>
    <row r="49" spans="1:7" ht="21.75" customHeight="1">
      <c r="A49" s="13">
        <f>4898480+1109640+872500-19224+19224</f>
        <v>6880620</v>
      </c>
      <c r="B49" s="13"/>
      <c r="C49" s="11">
        <f t="shared" si="1"/>
        <v>6880620</v>
      </c>
      <c r="D49" s="28">
        <f>283550+340740+312150</f>
        <v>936440</v>
      </c>
      <c r="E49" s="6" t="s">
        <v>172</v>
      </c>
      <c r="F49" s="10" t="s">
        <v>49</v>
      </c>
      <c r="G49" s="13">
        <v>312150</v>
      </c>
    </row>
    <row r="50" spans="1:7" ht="21.75" customHeight="1">
      <c r="A50" s="11">
        <f>185000+66000+72000</f>
        <v>323000</v>
      </c>
      <c r="B50" s="11"/>
      <c r="C50" s="11">
        <f t="shared" si="1"/>
        <v>323000</v>
      </c>
      <c r="D50" s="28">
        <f>13000+15000+9500</f>
        <v>37500</v>
      </c>
      <c r="E50" s="6" t="s">
        <v>1</v>
      </c>
      <c r="F50" s="10" t="s">
        <v>50</v>
      </c>
      <c r="G50" s="13">
        <v>9500</v>
      </c>
    </row>
    <row r="51" spans="1:7" ht="21.75" customHeight="1">
      <c r="A51" s="11">
        <f>1607000+80000+537000+420000+120000+490000+35000+932000-200000+200000-50000+50000</f>
        <v>4221000</v>
      </c>
      <c r="B51" s="11"/>
      <c r="C51" s="11">
        <f t="shared" si="1"/>
        <v>4221000</v>
      </c>
      <c r="D51" s="28">
        <f>24332+554975+331290</f>
        <v>910597</v>
      </c>
      <c r="E51" s="6" t="s">
        <v>2</v>
      </c>
      <c r="F51" s="10" t="s">
        <v>51</v>
      </c>
      <c r="G51" s="13">
        <f>199290+122000+5000+5000</f>
        <v>331290</v>
      </c>
    </row>
    <row r="52" spans="1:7" ht="21.75" customHeight="1">
      <c r="A52" s="11">
        <f>315000+573830+20000+20000+30000</f>
        <v>958830</v>
      </c>
      <c r="B52" s="11"/>
      <c r="C52" s="11">
        <f t="shared" si="1"/>
        <v>958830</v>
      </c>
      <c r="D52" s="28">
        <f>22385+6000</f>
        <v>28385</v>
      </c>
      <c r="E52" s="6" t="s">
        <v>3</v>
      </c>
      <c r="F52" s="10" t="s">
        <v>52</v>
      </c>
      <c r="G52" s="13">
        <v>6000</v>
      </c>
    </row>
    <row r="53" spans="1:7" ht="21.75" customHeight="1">
      <c r="A53" s="11">
        <f>450000+5000+700000</f>
        <v>1155000</v>
      </c>
      <c r="B53" s="11"/>
      <c r="C53" s="11">
        <f t="shared" si="1"/>
        <v>1155000</v>
      </c>
      <c r="D53" s="28">
        <f>57673.27+48060.08+68065.42</f>
        <v>173798.77000000002</v>
      </c>
      <c r="E53" s="6" t="s">
        <v>4</v>
      </c>
      <c r="F53" s="10" t="s">
        <v>53</v>
      </c>
      <c r="G53" s="13">
        <v>68065.42</v>
      </c>
    </row>
    <row r="54" spans="1:7" ht="21.75" customHeight="1">
      <c r="A54" s="11">
        <v>160900</v>
      </c>
      <c r="B54" s="11"/>
      <c r="C54" s="11">
        <f t="shared" si="1"/>
        <v>160900</v>
      </c>
      <c r="D54" s="28"/>
      <c r="E54" s="6" t="s">
        <v>33</v>
      </c>
      <c r="F54" s="10" t="s">
        <v>54</v>
      </c>
      <c r="G54" s="13">
        <v>0</v>
      </c>
    </row>
    <row r="55" spans="1:7" ht="21.75" customHeight="1">
      <c r="A55" s="11">
        <v>3504000</v>
      </c>
      <c r="B55" s="11"/>
      <c r="C55" s="11">
        <f t="shared" si="1"/>
        <v>3504000</v>
      </c>
      <c r="D55" s="28"/>
      <c r="E55" s="6" t="s">
        <v>34</v>
      </c>
      <c r="F55" s="10" t="s">
        <v>55</v>
      </c>
      <c r="G55" s="13">
        <v>0</v>
      </c>
    </row>
    <row r="56" spans="1:7" ht="21.75" customHeight="1" hidden="1">
      <c r="A56" s="11"/>
      <c r="B56" s="11"/>
      <c r="C56" s="11">
        <f t="shared" si="1"/>
        <v>0</v>
      </c>
      <c r="D56" s="28"/>
      <c r="E56" s="6" t="s">
        <v>147</v>
      </c>
      <c r="F56" s="10" t="s">
        <v>55</v>
      </c>
      <c r="G56" s="13"/>
    </row>
    <row r="57" spans="1:7" ht="21.75" customHeight="1" hidden="1">
      <c r="A57" s="11"/>
      <c r="B57" s="11"/>
      <c r="C57" s="11">
        <f t="shared" si="1"/>
        <v>0</v>
      </c>
      <c r="D57" s="28"/>
      <c r="E57" s="6" t="s">
        <v>170</v>
      </c>
      <c r="F57" s="10" t="s">
        <v>57</v>
      </c>
      <c r="G57" s="13"/>
    </row>
    <row r="58" spans="1:7" ht="21.75" customHeight="1">
      <c r="A58" s="11">
        <f>1004000+70000</f>
        <v>1074000</v>
      </c>
      <c r="B58" s="11"/>
      <c r="C58" s="11">
        <f t="shared" si="1"/>
        <v>1074000</v>
      </c>
      <c r="D58" s="28">
        <v>251000</v>
      </c>
      <c r="E58" s="6" t="s">
        <v>19</v>
      </c>
      <c r="F58" s="10" t="s">
        <v>56</v>
      </c>
      <c r="G58" s="13">
        <v>0</v>
      </c>
    </row>
    <row r="59" spans="1:8" ht="21.75" customHeight="1">
      <c r="A59" s="11"/>
      <c r="B59" s="11"/>
      <c r="C59" s="11"/>
      <c r="D59" s="28"/>
      <c r="F59" s="10"/>
      <c r="G59" s="13"/>
      <c r="H59" s="57"/>
    </row>
    <row r="60" spans="1:9" ht="21.75" customHeight="1">
      <c r="A60" s="19">
        <f>SUM(A47:A59)</f>
        <v>26900000</v>
      </c>
      <c r="B60" s="19">
        <f>SUM(B47:B58)</f>
        <v>0</v>
      </c>
      <c r="C60" s="19">
        <f>SUM(C47:C59)</f>
        <v>26900000</v>
      </c>
      <c r="D60" s="29">
        <f>SUM(D47:D59)</f>
        <v>4486721.77</v>
      </c>
      <c r="E60" s="17" t="s">
        <v>11</v>
      </c>
      <c r="F60" s="10"/>
      <c r="G60" s="19">
        <f>SUM(G47:G59)</f>
        <v>1442895.42</v>
      </c>
      <c r="H60" s="57"/>
      <c r="I60" s="82"/>
    </row>
    <row r="61" spans="1:7" ht="21.75" customHeight="1">
      <c r="A61" s="11"/>
      <c r="B61" s="11"/>
      <c r="C61" s="11"/>
      <c r="D61" s="28">
        <v>210000</v>
      </c>
      <c r="E61" s="6" t="s">
        <v>209</v>
      </c>
      <c r="F61" s="10" t="s">
        <v>106</v>
      </c>
      <c r="G61" s="11">
        <v>0</v>
      </c>
    </row>
    <row r="62" spans="1:7" ht="21.75" customHeight="1" hidden="1">
      <c r="A62" s="11"/>
      <c r="B62" s="11"/>
      <c r="C62" s="11"/>
      <c r="D62" s="28"/>
      <c r="E62" s="6" t="s">
        <v>142</v>
      </c>
      <c r="F62" s="10" t="s">
        <v>143</v>
      </c>
      <c r="G62" s="13"/>
    </row>
    <row r="63" spans="1:7" ht="21.75" customHeight="1" hidden="1">
      <c r="A63" s="11"/>
      <c r="B63" s="11"/>
      <c r="C63" s="11"/>
      <c r="D63" s="28"/>
      <c r="E63" s="6" t="s">
        <v>109</v>
      </c>
      <c r="F63" s="10" t="s">
        <v>108</v>
      </c>
      <c r="G63" s="13"/>
    </row>
    <row r="64" spans="1:7" ht="21.75" customHeight="1" hidden="1">
      <c r="A64" s="11"/>
      <c r="B64" s="11"/>
      <c r="C64" s="11"/>
      <c r="D64" s="12"/>
      <c r="E64" s="6" t="s">
        <v>44</v>
      </c>
      <c r="F64" s="10" t="s">
        <v>111</v>
      </c>
      <c r="G64" s="11"/>
    </row>
    <row r="65" spans="1:7" ht="21.75" customHeight="1" hidden="1">
      <c r="A65" s="11"/>
      <c r="B65" s="11"/>
      <c r="C65" s="11"/>
      <c r="D65" s="12"/>
      <c r="E65" s="6" t="s">
        <v>222</v>
      </c>
      <c r="F65" s="10" t="s">
        <v>223</v>
      </c>
      <c r="G65" s="11"/>
    </row>
    <row r="66" spans="1:7" ht="21.75" customHeight="1" hidden="1">
      <c r="A66" s="11"/>
      <c r="B66" s="11"/>
      <c r="C66" s="11"/>
      <c r="D66" s="12"/>
      <c r="E66" s="6" t="s">
        <v>185</v>
      </c>
      <c r="F66" s="10" t="s">
        <v>117</v>
      </c>
      <c r="G66" s="11"/>
    </row>
    <row r="67" spans="1:7" ht="21.75" customHeight="1">
      <c r="A67" s="11"/>
      <c r="B67" s="11"/>
      <c r="C67" s="11"/>
      <c r="D67" s="28">
        <f>3421000+1310000+278572.44</f>
        <v>5009572.44</v>
      </c>
      <c r="E67" s="6" t="s">
        <v>93</v>
      </c>
      <c r="F67" s="10" t="s">
        <v>113</v>
      </c>
      <c r="G67" s="13">
        <v>278572.44</v>
      </c>
    </row>
    <row r="68" spans="1:7" ht="21.75" customHeight="1">
      <c r="A68" s="11"/>
      <c r="B68" s="11"/>
      <c r="C68" s="11"/>
      <c r="D68" s="28">
        <f>104515.27+548257.74+80806.17</f>
        <v>733579.18</v>
      </c>
      <c r="E68" s="6" t="s">
        <v>171</v>
      </c>
      <c r="F68" s="10" t="s">
        <v>112</v>
      </c>
      <c r="G68" s="13">
        <f>15876.17+2330+62600</f>
        <v>80806.17</v>
      </c>
    </row>
    <row r="69" spans="1:7" ht="21.75" customHeight="1" hidden="1">
      <c r="A69" s="11"/>
      <c r="B69" s="11"/>
      <c r="C69" s="11"/>
      <c r="D69" s="12"/>
      <c r="E69" s="6" t="s">
        <v>118</v>
      </c>
      <c r="F69" s="10" t="s">
        <v>119</v>
      </c>
      <c r="G69" s="11"/>
    </row>
    <row r="70" spans="1:7" ht="21.75" customHeight="1">
      <c r="A70" s="11"/>
      <c r="B70" s="11"/>
      <c r="C70" s="11"/>
      <c r="D70" s="28">
        <f>486000+62300</f>
        <v>548300</v>
      </c>
      <c r="E70" s="6" t="s">
        <v>5</v>
      </c>
      <c r="F70" s="10" t="s">
        <v>105</v>
      </c>
      <c r="G70" s="13">
        <v>62300</v>
      </c>
    </row>
    <row r="71" spans="1:7" ht="21.75" customHeight="1">
      <c r="A71" s="11"/>
      <c r="B71" s="11"/>
      <c r="C71" s="11"/>
      <c r="D71" s="28"/>
      <c r="E71" s="30" t="s">
        <v>212</v>
      </c>
      <c r="F71" s="10" t="s">
        <v>47</v>
      </c>
      <c r="G71" s="13"/>
    </row>
    <row r="72" spans="1:7" ht="21.75" customHeight="1">
      <c r="A72" s="11"/>
      <c r="B72" s="11"/>
      <c r="C72" s="11"/>
      <c r="D72" s="25">
        <f>SUM(D61:D71)</f>
        <v>6501451.62</v>
      </c>
      <c r="E72" s="17" t="s">
        <v>11</v>
      </c>
      <c r="F72" s="10"/>
      <c r="G72" s="8">
        <f>SUM(G61:G71)</f>
        <v>421678.61</v>
      </c>
    </row>
    <row r="73" spans="1:7" ht="21.75" customHeight="1">
      <c r="A73" s="19"/>
      <c r="B73" s="19"/>
      <c r="C73" s="19"/>
      <c r="D73" s="19">
        <f>SUM(D72,D60)</f>
        <v>10988173.39</v>
      </c>
      <c r="E73" s="48" t="s">
        <v>98</v>
      </c>
      <c r="F73" s="49"/>
      <c r="G73" s="19">
        <f>SUM(G72,G60)</f>
        <v>1864574.0299999998</v>
      </c>
    </row>
    <row r="74" spans="1:9" ht="21.75" customHeight="1">
      <c r="A74" s="50"/>
      <c r="B74" s="50"/>
      <c r="C74" s="51"/>
      <c r="D74" s="15">
        <f>SUM(D39-D73)</f>
        <v>-3266131.750000001</v>
      </c>
      <c r="E74" s="53" t="s">
        <v>99</v>
      </c>
      <c r="F74" s="54"/>
      <c r="G74" s="31">
        <f>SUM(G39-G73)</f>
        <v>-508161.87999999966</v>
      </c>
      <c r="I74" s="57"/>
    </row>
    <row r="75" spans="1:9" ht="21.75" customHeight="1" thickBot="1">
      <c r="A75" s="21"/>
      <c r="B75" s="21"/>
      <c r="C75" s="52"/>
      <c r="D75" s="33">
        <f>+D9+D39-D73</f>
        <v>21157764.44</v>
      </c>
      <c r="E75" s="55" t="s">
        <v>100</v>
      </c>
      <c r="F75" s="56"/>
      <c r="G75" s="33">
        <f>+G9+G39-G73</f>
        <v>21157764.439999998</v>
      </c>
      <c r="H75" s="57"/>
      <c r="I75" s="57"/>
    </row>
    <row r="76" spans="1:9" ht="21.75" customHeight="1" thickTop="1">
      <c r="A76" s="21"/>
      <c r="B76" s="21"/>
      <c r="C76" s="21"/>
      <c r="D76" s="22"/>
      <c r="E76" s="34"/>
      <c r="F76" s="23"/>
      <c r="G76" s="21"/>
      <c r="H76" s="57"/>
      <c r="I76" s="57"/>
    </row>
    <row r="77" spans="1:8" ht="21.75" customHeight="1" hidden="1">
      <c r="A77" s="21"/>
      <c r="B77" s="21"/>
      <c r="C77" s="21"/>
      <c r="D77" s="22"/>
      <c r="E77" s="34"/>
      <c r="F77" s="23"/>
      <c r="G77" s="21"/>
      <c r="H77" s="82"/>
    </row>
    <row r="78" spans="1:7" ht="21.75" customHeight="1" hidden="1">
      <c r="A78" s="21"/>
      <c r="B78" s="21"/>
      <c r="C78" s="21"/>
      <c r="D78" s="22"/>
      <c r="E78" s="34"/>
      <c r="F78" s="23"/>
      <c r="G78" s="21"/>
    </row>
    <row r="79" spans="1:7" ht="21.75" customHeight="1" hidden="1">
      <c r="A79" s="21"/>
      <c r="B79" s="21"/>
      <c r="C79" s="21"/>
      <c r="D79" s="22"/>
      <c r="E79" s="34"/>
      <c r="F79" s="23"/>
      <c r="G79" s="21"/>
    </row>
    <row r="80" spans="1:6" ht="21.75" customHeight="1">
      <c r="A80" s="6" t="s">
        <v>166</v>
      </c>
      <c r="B80" s="6"/>
      <c r="C80" s="6"/>
      <c r="D80" s="35"/>
      <c r="E80" s="36"/>
      <c r="F80" s="36"/>
    </row>
    <row r="81" spans="1:8" ht="21.75" customHeight="1">
      <c r="A81" s="38" t="s">
        <v>7</v>
      </c>
      <c r="B81" s="38"/>
      <c r="C81" s="38"/>
      <c r="D81" s="35"/>
      <c r="E81" s="36"/>
      <c r="F81" s="36"/>
      <c r="H81" s="82"/>
    </row>
    <row r="82" spans="1:9" ht="21.75" customHeight="1">
      <c r="A82" s="38"/>
      <c r="B82" s="38"/>
      <c r="C82" s="38"/>
      <c r="D82" s="35"/>
      <c r="E82" s="36"/>
      <c r="F82" s="36"/>
      <c r="I82" s="82"/>
    </row>
    <row r="83" s="58" customFormat="1" ht="21.75" customHeight="1">
      <c r="A83" s="58" t="s">
        <v>284</v>
      </c>
    </row>
    <row r="84" s="58" customFormat="1" ht="21.75" customHeight="1">
      <c r="A84" s="58" t="s">
        <v>173</v>
      </c>
    </row>
    <row r="85" spans="1:7" s="58" customFormat="1" ht="21.75" customHeight="1">
      <c r="A85" s="59"/>
      <c r="B85" s="59"/>
      <c r="C85" s="59"/>
      <c r="D85" s="59"/>
      <c r="E85" s="59"/>
      <c r="F85" s="59"/>
      <c r="G85" s="60"/>
    </row>
    <row r="86" spans="1:7" ht="21.75" customHeight="1">
      <c r="A86" s="173" t="s">
        <v>8</v>
      </c>
      <c r="B86" s="173"/>
      <c r="C86" s="173"/>
      <c r="D86" s="173"/>
      <c r="E86" s="173"/>
      <c r="F86" s="173"/>
      <c r="G86" s="173"/>
    </row>
    <row r="87" spans="1:7" ht="21.75" customHeight="1">
      <c r="A87" s="17"/>
      <c r="B87" s="17"/>
      <c r="C87" s="17"/>
      <c r="D87" s="17"/>
      <c r="E87" s="17"/>
      <c r="F87" s="17"/>
      <c r="G87" s="32"/>
    </row>
    <row r="88" spans="1:7" ht="21.75" customHeight="1">
      <c r="A88" s="173" t="s">
        <v>168</v>
      </c>
      <c r="B88" s="173"/>
      <c r="C88" s="173"/>
      <c r="D88" s="173"/>
      <c r="E88" s="173"/>
      <c r="F88" s="173"/>
      <c r="G88" s="173"/>
    </row>
    <row r="89" spans="1:7" ht="21.75" customHeight="1">
      <c r="A89" s="173" t="s">
        <v>167</v>
      </c>
      <c r="B89" s="173"/>
      <c r="C89" s="173"/>
      <c r="D89" s="173"/>
      <c r="E89" s="173"/>
      <c r="F89" s="173"/>
      <c r="G89" s="173"/>
    </row>
    <row r="90" spans="1:7" ht="21.75" customHeight="1">
      <c r="A90" s="185"/>
      <c r="B90" s="185"/>
      <c r="C90" s="185"/>
      <c r="D90" s="185"/>
      <c r="E90" s="185"/>
      <c r="F90" s="185"/>
      <c r="G90" s="185"/>
    </row>
    <row r="91" spans="1:7" ht="21.75" customHeight="1">
      <c r="A91" s="39"/>
      <c r="B91" s="39"/>
      <c r="C91" s="39"/>
      <c r="D91" s="39"/>
      <c r="E91" s="39"/>
      <c r="F91" s="39"/>
      <c r="G91" s="32"/>
    </row>
    <row r="92" spans="1:7" ht="21.75" customHeight="1">
      <c r="A92" s="39"/>
      <c r="B92" s="39"/>
      <c r="C92" s="39"/>
      <c r="D92" s="39"/>
      <c r="E92" s="39"/>
      <c r="F92" s="39"/>
      <c r="G92" s="32"/>
    </row>
    <row r="93" spans="1:7" ht="21.75" customHeight="1">
      <c r="A93" s="185" t="s">
        <v>207</v>
      </c>
      <c r="B93" s="185"/>
      <c r="C93" s="185"/>
      <c r="D93" s="185"/>
      <c r="E93" s="185"/>
      <c r="F93" s="185"/>
      <c r="G93" s="185"/>
    </row>
    <row r="94" spans="1:7" ht="21.75" customHeight="1">
      <c r="A94" s="184" t="s">
        <v>101</v>
      </c>
      <c r="B94" s="184"/>
      <c r="C94" s="184"/>
      <c r="D94" s="184"/>
      <c r="E94" s="184"/>
      <c r="F94" s="184"/>
      <c r="G94" s="184"/>
    </row>
    <row r="95" spans="1:7" ht="21.75" customHeight="1">
      <c r="A95" s="184" t="s">
        <v>115</v>
      </c>
      <c r="B95" s="184"/>
      <c r="C95" s="184"/>
      <c r="D95" s="184"/>
      <c r="E95" s="184"/>
      <c r="F95" s="184"/>
      <c r="G95" s="184"/>
    </row>
    <row r="96" spans="1:7" ht="21.75" customHeight="1">
      <c r="A96" s="183" t="s">
        <v>102</v>
      </c>
      <c r="B96" s="183"/>
      <c r="C96" s="183"/>
      <c r="D96" s="183"/>
      <c r="E96" s="183"/>
      <c r="F96" s="183"/>
      <c r="G96" s="183"/>
    </row>
    <row r="97" spans="1:7" ht="21.75" customHeight="1">
      <c r="A97" s="40"/>
      <c r="B97" s="40"/>
      <c r="C97" s="40"/>
      <c r="D97" s="40"/>
      <c r="E97" s="40"/>
      <c r="F97" s="40"/>
      <c r="G97" s="5" t="s">
        <v>38</v>
      </c>
    </row>
    <row r="98" spans="1:7" ht="21.75" customHeight="1">
      <c r="A98" s="186" t="s">
        <v>45</v>
      </c>
      <c r="B98" s="186"/>
      <c r="C98" s="186"/>
      <c r="D98" s="186"/>
      <c r="E98" s="5"/>
      <c r="F98" s="5"/>
      <c r="G98" s="32">
        <v>15528.16</v>
      </c>
    </row>
    <row r="99" spans="1:7" ht="21.75" customHeight="1">
      <c r="A99" s="186" t="s">
        <v>9</v>
      </c>
      <c r="B99" s="186"/>
      <c r="C99" s="41"/>
      <c r="D99" s="41"/>
      <c r="E99" s="5"/>
      <c r="F99" s="5"/>
      <c r="G99" s="32">
        <v>16350</v>
      </c>
    </row>
    <row r="100" spans="1:7" ht="21.75" customHeight="1">
      <c r="A100" s="41" t="s">
        <v>72</v>
      </c>
      <c r="B100" s="41"/>
      <c r="C100" s="41"/>
      <c r="D100" s="41"/>
      <c r="E100" s="5"/>
      <c r="F100" s="5"/>
      <c r="G100" s="32">
        <v>217.05</v>
      </c>
    </row>
    <row r="101" spans="1:7" ht="21.75" customHeight="1">
      <c r="A101" s="41" t="s">
        <v>10</v>
      </c>
      <c r="B101" s="41"/>
      <c r="C101" s="41"/>
      <c r="D101" s="41"/>
      <c r="E101" s="5"/>
      <c r="F101" s="5"/>
      <c r="G101" s="32">
        <v>260.46</v>
      </c>
    </row>
    <row r="102" spans="1:7" ht="21.75" customHeight="1">
      <c r="A102" s="186" t="s">
        <v>39</v>
      </c>
      <c r="B102" s="186"/>
      <c r="C102" s="186"/>
      <c r="D102" s="41"/>
      <c r="E102" s="5"/>
      <c r="F102" s="5"/>
      <c r="G102" s="32">
        <v>283.67</v>
      </c>
    </row>
    <row r="103" spans="1:7" ht="21.75" customHeight="1">
      <c r="A103" s="186" t="s">
        <v>91</v>
      </c>
      <c r="B103" s="186"/>
      <c r="C103" s="41"/>
      <c r="D103" s="41"/>
      <c r="E103" s="5"/>
      <c r="F103" s="5"/>
      <c r="G103" s="32">
        <v>3714.5</v>
      </c>
    </row>
    <row r="104" spans="1:7" ht="21.75" customHeight="1">
      <c r="A104" s="37" t="s">
        <v>74</v>
      </c>
      <c r="G104" s="21">
        <v>6129</v>
      </c>
    </row>
    <row r="105" spans="1:7" ht="21.75" customHeight="1">
      <c r="A105" s="186" t="s">
        <v>137</v>
      </c>
      <c r="B105" s="186"/>
      <c r="C105" s="186"/>
      <c r="G105" s="21">
        <v>111800</v>
      </c>
    </row>
    <row r="106" spans="1:7" ht="21.75" customHeight="1">
      <c r="A106" s="186" t="s">
        <v>138</v>
      </c>
      <c r="B106" s="186"/>
      <c r="C106" s="186"/>
      <c r="G106" s="21">
        <v>72000</v>
      </c>
    </row>
    <row r="107" spans="1:7" ht="21.75" customHeight="1">
      <c r="A107" s="186" t="s">
        <v>140</v>
      </c>
      <c r="B107" s="186"/>
      <c r="C107" s="186"/>
      <c r="G107" s="21">
        <v>14000</v>
      </c>
    </row>
    <row r="108" spans="1:7" ht="21.75" customHeight="1">
      <c r="A108" s="186" t="s">
        <v>139</v>
      </c>
      <c r="B108" s="186"/>
      <c r="C108" s="186"/>
      <c r="D108" s="186"/>
      <c r="G108" s="21">
        <v>175</v>
      </c>
    </row>
    <row r="109" spans="1:7" ht="21.75" customHeight="1">
      <c r="A109" s="42" t="s">
        <v>141</v>
      </c>
      <c r="B109" s="42"/>
      <c r="C109" s="42"/>
      <c r="G109" s="43">
        <v>10000</v>
      </c>
    </row>
    <row r="110" spans="1:7" ht="21.75" customHeight="1" thickBot="1">
      <c r="A110" s="186"/>
      <c r="B110" s="186"/>
      <c r="C110" s="186"/>
      <c r="F110" s="35" t="s">
        <v>11</v>
      </c>
      <c r="G110" s="44">
        <f>SUM(G93:G109)</f>
        <v>250457.84</v>
      </c>
    </row>
    <row r="111" spans="1:7" ht="21.75" customHeight="1" thickTop="1">
      <c r="A111" s="186"/>
      <c r="B111" s="186"/>
      <c r="C111" s="186"/>
      <c r="G111" s="21"/>
    </row>
    <row r="112" spans="1:7" ht="21.75" customHeight="1">
      <c r="A112" s="5"/>
      <c r="B112" s="5"/>
      <c r="C112" s="5"/>
      <c r="D112" s="5"/>
      <c r="G112" s="45"/>
    </row>
    <row r="113" spans="1:7" ht="21.75" customHeight="1">
      <c r="A113" s="185" t="s">
        <v>207</v>
      </c>
      <c r="B113" s="185"/>
      <c r="C113" s="185"/>
      <c r="D113" s="185"/>
      <c r="E113" s="185"/>
      <c r="F113" s="185"/>
      <c r="G113" s="185"/>
    </row>
    <row r="114" spans="1:7" ht="21.75" customHeight="1">
      <c r="A114" s="184" t="s">
        <v>101</v>
      </c>
      <c r="B114" s="184"/>
      <c r="C114" s="184"/>
      <c r="D114" s="184"/>
      <c r="E114" s="184"/>
      <c r="F114" s="184"/>
      <c r="G114" s="184"/>
    </row>
    <row r="115" spans="1:7" ht="21.75" customHeight="1">
      <c r="A115" s="184" t="s">
        <v>115</v>
      </c>
      <c r="B115" s="184"/>
      <c r="C115" s="184"/>
      <c r="D115" s="184"/>
      <c r="E115" s="184"/>
      <c r="F115" s="184"/>
      <c r="G115" s="184"/>
    </row>
    <row r="116" spans="1:7" ht="21.75" customHeight="1">
      <c r="A116" s="183" t="s">
        <v>103</v>
      </c>
      <c r="B116" s="183"/>
      <c r="C116" s="183"/>
      <c r="D116" s="183"/>
      <c r="E116" s="183"/>
      <c r="F116" s="183"/>
      <c r="G116" s="183"/>
    </row>
    <row r="117" spans="1:7" ht="21.75" customHeight="1">
      <c r="A117" s="40"/>
      <c r="B117" s="40"/>
      <c r="C117" s="40"/>
      <c r="D117" s="40"/>
      <c r="E117" s="40"/>
      <c r="F117" s="40"/>
      <c r="G117" s="5" t="s">
        <v>38</v>
      </c>
    </row>
    <row r="118" spans="1:7" ht="21.75" customHeight="1">
      <c r="A118" s="186" t="s">
        <v>45</v>
      </c>
      <c r="B118" s="186"/>
      <c r="C118" s="186"/>
      <c r="D118" s="186"/>
      <c r="E118" s="5"/>
      <c r="F118" s="5"/>
      <c r="G118" s="32">
        <v>15528.16</v>
      </c>
    </row>
    <row r="119" spans="1:7" ht="21.75" customHeight="1">
      <c r="A119" s="41" t="s">
        <v>110</v>
      </c>
      <c r="B119" s="41"/>
      <c r="C119" s="41"/>
      <c r="D119" s="41"/>
      <c r="E119" s="5"/>
      <c r="F119" s="5"/>
      <c r="G119" s="32">
        <v>23030</v>
      </c>
    </row>
    <row r="120" spans="1:7" ht="21.75" customHeight="1">
      <c r="A120" s="41" t="s">
        <v>74</v>
      </c>
      <c r="B120" s="41"/>
      <c r="C120" s="41"/>
      <c r="D120" s="41"/>
      <c r="E120" s="5"/>
      <c r="F120" s="5"/>
      <c r="G120" s="32">
        <v>6129</v>
      </c>
    </row>
    <row r="121" spans="1:7" ht="21.75" customHeight="1">
      <c r="A121" s="184" t="s">
        <v>121</v>
      </c>
      <c r="B121" s="184"/>
      <c r="C121" s="41"/>
      <c r="D121" s="41"/>
      <c r="E121" s="5"/>
      <c r="F121" s="5"/>
      <c r="G121" s="32">
        <v>17402</v>
      </c>
    </row>
    <row r="122" spans="1:7" ht="21.75" customHeight="1">
      <c r="A122" s="186" t="s">
        <v>91</v>
      </c>
      <c r="B122" s="186"/>
      <c r="C122" s="186"/>
      <c r="D122" s="186"/>
      <c r="E122" s="5"/>
      <c r="F122" s="5"/>
      <c r="G122" s="46">
        <v>5162</v>
      </c>
    </row>
    <row r="123" spans="1:7" ht="21.75" customHeight="1" thickBot="1">
      <c r="A123" s="5"/>
      <c r="B123" s="5"/>
      <c r="C123" s="5"/>
      <c r="D123" s="5"/>
      <c r="E123" s="5"/>
      <c r="F123" s="5" t="s">
        <v>11</v>
      </c>
      <c r="G123" s="44">
        <f>SUM(G118:G122)</f>
        <v>67251.16</v>
      </c>
    </row>
    <row r="124" spans="1:7" ht="21.75" customHeight="1" thickTop="1">
      <c r="A124" s="166"/>
      <c r="B124" s="166"/>
      <c r="C124" s="166"/>
      <c r="D124" s="166"/>
      <c r="E124" s="166"/>
      <c r="F124" s="166"/>
      <c r="G124" s="166"/>
    </row>
    <row r="125" spans="1:7" ht="21.75" customHeight="1">
      <c r="A125" s="166"/>
      <c r="B125" s="166"/>
      <c r="C125" s="166"/>
      <c r="D125" s="166"/>
      <c r="E125" s="166"/>
      <c r="F125" s="166"/>
      <c r="G125" s="166"/>
    </row>
    <row r="126" spans="1:7" ht="21.75" customHeight="1">
      <c r="A126" s="41"/>
      <c r="B126" s="41"/>
      <c r="C126" s="41"/>
      <c r="D126" s="41"/>
      <c r="E126" s="5"/>
      <c r="F126" s="5"/>
      <c r="G126" s="32"/>
    </row>
    <row r="127" spans="1:7" ht="21.75" customHeight="1">
      <c r="A127" s="41"/>
      <c r="B127" s="41"/>
      <c r="C127" s="41"/>
      <c r="D127" s="41"/>
      <c r="E127" s="5"/>
      <c r="F127" s="5"/>
      <c r="G127" s="32"/>
    </row>
    <row r="128" spans="1:7" ht="21.75" customHeight="1">
      <c r="A128" s="41"/>
      <c r="B128" s="41"/>
      <c r="C128" s="41"/>
      <c r="D128" s="32"/>
      <c r="E128" s="32"/>
      <c r="F128" s="32"/>
      <c r="G128" s="32"/>
    </row>
    <row r="129" spans="1:7" ht="21.75" customHeight="1">
      <c r="A129" s="186"/>
      <c r="B129" s="186"/>
      <c r="C129" s="186"/>
      <c r="D129" s="186"/>
      <c r="E129" s="186"/>
      <c r="F129" s="5"/>
      <c r="G129" s="32"/>
    </row>
    <row r="130" spans="1:7" ht="21.75" customHeight="1">
      <c r="A130" s="185" t="s">
        <v>207</v>
      </c>
      <c r="B130" s="185"/>
      <c r="C130" s="185"/>
      <c r="D130" s="185"/>
      <c r="E130" s="185"/>
      <c r="F130" s="185"/>
      <c r="G130" s="185"/>
    </row>
    <row r="131" spans="1:7" ht="21.75" customHeight="1">
      <c r="A131" s="184" t="s">
        <v>101</v>
      </c>
      <c r="B131" s="184"/>
      <c r="C131" s="184"/>
      <c r="D131" s="184"/>
      <c r="E131" s="184"/>
      <c r="F131" s="184"/>
      <c r="G131" s="184"/>
    </row>
    <row r="132" spans="1:7" ht="21.75" customHeight="1">
      <c r="A132" s="184" t="s">
        <v>115</v>
      </c>
      <c r="B132" s="184"/>
      <c r="C132" s="184"/>
      <c r="D132" s="184"/>
      <c r="E132" s="184"/>
      <c r="F132" s="184"/>
      <c r="G132" s="184"/>
    </row>
    <row r="133" spans="1:7" ht="21.75" customHeight="1">
      <c r="A133" s="183" t="s">
        <v>93</v>
      </c>
      <c r="B133" s="183"/>
      <c r="C133" s="183"/>
      <c r="D133" s="183"/>
      <c r="E133" s="183"/>
      <c r="F133" s="183"/>
      <c r="G133" s="183"/>
    </row>
    <row r="134" spans="1:7" ht="21.75" customHeight="1">
      <c r="A134" s="40"/>
      <c r="B134" s="40"/>
      <c r="C134" s="40"/>
      <c r="D134" s="40"/>
      <c r="E134" s="40"/>
      <c r="F134" s="40"/>
      <c r="G134" s="5" t="s">
        <v>38</v>
      </c>
    </row>
    <row r="135" spans="1:7" ht="21.75" customHeight="1">
      <c r="A135" s="41" t="s">
        <v>80</v>
      </c>
      <c r="B135" s="41"/>
      <c r="C135" s="41"/>
      <c r="D135" s="41"/>
      <c r="E135" s="5"/>
      <c r="F135" s="5"/>
      <c r="G135" s="32">
        <v>0</v>
      </c>
    </row>
    <row r="136" spans="1:7" ht="21.75" customHeight="1">
      <c r="A136" s="41" t="s">
        <v>81</v>
      </c>
      <c r="B136" s="41"/>
      <c r="C136" s="41"/>
      <c r="D136" s="32"/>
      <c r="E136" s="32"/>
      <c r="F136" s="32"/>
      <c r="G136" s="32">
        <v>0</v>
      </c>
    </row>
    <row r="137" spans="1:7" ht="21.75" customHeight="1">
      <c r="A137" s="41" t="s">
        <v>82</v>
      </c>
      <c r="B137" s="41"/>
      <c r="C137" s="41"/>
      <c r="D137" s="41"/>
      <c r="E137" s="5"/>
      <c r="F137" s="5"/>
      <c r="G137" s="32">
        <v>0</v>
      </c>
    </row>
    <row r="138" spans="1:7" ht="21.75" customHeight="1">
      <c r="A138" s="41" t="s">
        <v>83</v>
      </c>
      <c r="B138" s="41"/>
      <c r="C138" s="41"/>
      <c r="D138" s="41"/>
      <c r="E138" s="41"/>
      <c r="F138" s="5"/>
      <c r="G138" s="32">
        <v>0</v>
      </c>
    </row>
    <row r="139" spans="1:7" ht="21.75" customHeight="1">
      <c r="A139" s="186" t="s">
        <v>84</v>
      </c>
      <c r="B139" s="186"/>
      <c r="C139" s="186"/>
      <c r="D139" s="186"/>
      <c r="E139" s="186"/>
      <c r="F139" s="5"/>
      <c r="G139" s="32">
        <v>0</v>
      </c>
    </row>
    <row r="140" spans="1:7" ht="21.75" customHeight="1">
      <c r="A140" s="41" t="s">
        <v>75</v>
      </c>
      <c r="B140" s="41"/>
      <c r="C140" s="41"/>
      <c r="D140" s="41"/>
      <c r="E140" s="41"/>
      <c r="F140" s="5"/>
      <c r="G140" s="32">
        <v>0</v>
      </c>
    </row>
    <row r="141" spans="1:7" ht="21.75" customHeight="1">
      <c r="A141" s="41" t="s">
        <v>76</v>
      </c>
      <c r="B141" s="41"/>
      <c r="C141" s="41"/>
      <c r="D141" s="41"/>
      <c r="E141" s="41"/>
      <c r="F141" s="5"/>
      <c r="G141" s="32">
        <v>0</v>
      </c>
    </row>
    <row r="142" spans="1:7" ht="21.75" customHeight="1">
      <c r="A142" s="186" t="s">
        <v>77</v>
      </c>
      <c r="B142" s="186"/>
      <c r="C142" s="186"/>
      <c r="D142" s="186"/>
      <c r="E142" s="186"/>
      <c r="F142" s="5"/>
      <c r="G142" s="32">
        <v>0</v>
      </c>
    </row>
    <row r="143" spans="1:7" ht="21.75" customHeight="1">
      <c r="A143" s="186" t="s">
        <v>78</v>
      </c>
      <c r="B143" s="186"/>
      <c r="C143" s="186"/>
      <c r="D143" s="186"/>
      <c r="E143" s="186"/>
      <c r="F143" s="5"/>
      <c r="G143" s="32">
        <v>0</v>
      </c>
    </row>
    <row r="144" spans="1:7" ht="21.75" customHeight="1">
      <c r="A144" s="186" t="s">
        <v>79</v>
      </c>
      <c r="B144" s="186"/>
      <c r="C144" s="186"/>
      <c r="D144" s="186"/>
      <c r="E144" s="186"/>
      <c r="G144" s="37">
        <v>0</v>
      </c>
    </row>
    <row r="145" spans="1:7" ht="21.75" customHeight="1">
      <c r="A145" s="186" t="s">
        <v>92</v>
      </c>
      <c r="B145" s="186"/>
      <c r="C145" s="186"/>
      <c r="D145" s="186"/>
      <c r="E145" s="186"/>
      <c r="G145" s="43">
        <v>0</v>
      </c>
    </row>
    <row r="146" spans="1:7" ht="21.75" customHeight="1" thickBot="1">
      <c r="A146" s="5"/>
      <c r="B146" s="5"/>
      <c r="C146" s="5"/>
      <c r="D146" s="5"/>
      <c r="E146" s="5"/>
      <c r="F146" s="5" t="s">
        <v>11</v>
      </c>
      <c r="G146" s="44">
        <v>0</v>
      </c>
    </row>
    <row r="147" spans="1:7" ht="21.75" customHeight="1" thickTop="1">
      <c r="A147" s="41"/>
      <c r="B147" s="41"/>
      <c r="C147" s="41"/>
      <c r="D147" s="41"/>
      <c r="E147" s="41"/>
      <c r="F147" s="5"/>
      <c r="G147" s="32"/>
    </row>
    <row r="148" spans="1:7" ht="21.75" customHeight="1">
      <c r="A148" s="41"/>
      <c r="B148" s="41"/>
      <c r="C148" s="41"/>
      <c r="D148" s="41"/>
      <c r="E148" s="41"/>
      <c r="F148" s="5"/>
      <c r="G148" s="32"/>
    </row>
    <row r="149" spans="1:7" ht="21.75" customHeight="1">
      <c r="A149" s="185" t="s">
        <v>207</v>
      </c>
      <c r="B149" s="185"/>
      <c r="C149" s="185"/>
      <c r="D149" s="185"/>
      <c r="E149" s="185"/>
      <c r="F149" s="185"/>
      <c r="G149" s="185"/>
    </row>
    <row r="150" spans="1:7" ht="21.75" customHeight="1">
      <c r="A150" s="184" t="s">
        <v>101</v>
      </c>
      <c r="B150" s="184"/>
      <c r="C150" s="184"/>
      <c r="D150" s="184"/>
      <c r="E150" s="184"/>
      <c r="F150" s="184"/>
      <c r="G150" s="184"/>
    </row>
    <row r="151" spans="1:7" ht="21.75" customHeight="1">
      <c r="A151" s="184" t="s">
        <v>115</v>
      </c>
      <c r="B151" s="184"/>
      <c r="C151" s="184"/>
      <c r="D151" s="184"/>
      <c r="E151" s="184"/>
      <c r="F151" s="184"/>
      <c r="G151" s="184"/>
    </row>
    <row r="152" spans="1:7" ht="21.75" customHeight="1">
      <c r="A152" s="183" t="s">
        <v>104</v>
      </c>
      <c r="B152" s="183"/>
      <c r="C152" s="183"/>
      <c r="D152" s="183"/>
      <c r="E152" s="183"/>
      <c r="F152" s="183"/>
      <c r="G152" s="183"/>
    </row>
    <row r="153" spans="1:7" ht="21.75" customHeight="1">
      <c r="A153" s="40"/>
      <c r="B153" s="40"/>
      <c r="C153" s="40"/>
      <c r="D153" s="40"/>
      <c r="E153" s="40"/>
      <c r="F153" s="40"/>
      <c r="G153" s="5" t="s">
        <v>38</v>
      </c>
    </row>
    <row r="154" spans="1:7" ht="21.75" customHeight="1">
      <c r="A154" s="186" t="s">
        <v>85</v>
      </c>
      <c r="B154" s="186"/>
      <c r="C154" s="186"/>
      <c r="D154" s="186"/>
      <c r="E154" s="186"/>
      <c r="F154" s="5"/>
      <c r="G154" s="32">
        <v>64135</v>
      </c>
    </row>
    <row r="155" spans="1:7" ht="21.75" customHeight="1">
      <c r="A155" s="186" t="s">
        <v>86</v>
      </c>
      <c r="B155" s="186"/>
      <c r="C155" s="186"/>
      <c r="D155" s="186"/>
      <c r="E155" s="186"/>
      <c r="F155" s="5"/>
      <c r="G155" s="32">
        <v>0</v>
      </c>
    </row>
    <row r="156" spans="1:7" ht="21.75" customHeight="1">
      <c r="A156" s="186" t="s">
        <v>87</v>
      </c>
      <c r="B156" s="186"/>
      <c r="C156" s="186"/>
      <c r="D156" s="186"/>
      <c r="E156" s="186"/>
      <c r="F156" s="5"/>
      <c r="G156" s="32">
        <v>0</v>
      </c>
    </row>
    <row r="157" spans="1:7" ht="21.75" customHeight="1">
      <c r="A157" s="186" t="s">
        <v>88</v>
      </c>
      <c r="B157" s="186"/>
      <c r="C157" s="186"/>
      <c r="D157" s="186"/>
      <c r="E157" s="186"/>
      <c r="F157" s="5"/>
      <c r="G157" s="32">
        <v>0</v>
      </c>
    </row>
    <row r="158" spans="1:7" ht="21.75" customHeight="1">
      <c r="A158" s="186" t="s">
        <v>89</v>
      </c>
      <c r="B158" s="186"/>
      <c r="C158" s="186"/>
      <c r="D158" s="186"/>
      <c r="E158" s="186"/>
      <c r="F158" s="5"/>
      <c r="G158" s="46">
        <v>0</v>
      </c>
    </row>
    <row r="159" spans="1:7" ht="21.75" customHeight="1" thickBot="1">
      <c r="A159" s="183"/>
      <c r="B159" s="183"/>
      <c r="C159" s="183"/>
      <c r="D159" s="183"/>
      <c r="E159" s="183"/>
      <c r="F159" s="5" t="s">
        <v>11</v>
      </c>
      <c r="G159" s="47">
        <f>SUM(G154:G158)</f>
        <v>64135</v>
      </c>
    </row>
    <row r="160" spans="1:7" ht="21.75" customHeight="1" thickTop="1">
      <c r="A160" s="41"/>
      <c r="B160" s="41"/>
      <c r="C160" s="41"/>
      <c r="D160" s="41"/>
      <c r="E160" s="5"/>
      <c r="F160" s="5"/>
      <c r="G160" s="32">
        <v>0</v>
      </c>
    </row>
    <row r="161" spans="1:7" ht="21.75" customHeight="1">
      <c r="A161" s="41"/>
      <c r="B161" s="41"/>
      <c r="C161" s="41"/>
      <c r="D161" s="41"/>
      <c r="E161" s="5"/>
      <c r="F161" s="5"/>
      <c r="G161" s="32">
        <v>0</v>
      </c>
    </row>
    <row r="162" spans="1:7" ht="21.75" customHeight="1">
      <c r="A162" s="41"/>
      <c r="B162" s="41"/>
      <c r="C162" s="41"/>
      <c r="D162" s="41"/>
      <c r="E162" s="5"/>
      <c r="F162" s="5"/>
      <c r="G162" s="32">
        <v>0</v>
      </c>
    </row>
    <row r="163" spans="1:7" ht="21.75" customHeight="1">
      <c r="A163" s="41"/>
      <c r="B163" s="41"/>
      <c r="C163" s="41"/>
      <c r="D163" s="41"/>
      <c r="E163" s="5"/>
      <c r="F163" s="5"/>
      <c r="G163" s="32"/>
    </row>
    <row r="164" spans="1:7" ht="21.75" customHeight="1">
      <c r="A164" s="41"/>
      <c r="B164" s="41"/>
      <c r="C164" s="41"/>
      <c r="D164" s="41"/>
      <c r="E164" s="5"/>
      <c r="F164" s="5"/>
      <c r="G164" s="32"/>
    </row>
    <row r="165" spans="1:7" ht="21.75" customHeight="1">
      <c r="A165" s="41"/>
      <c r="B165" s="41"/>
      <c r="C165" s="41"/>
      <c r="D165" s="41"/>
      <c r="E165" s="5"/>
      <c r="F165" s="5"/>
      <c r="G165" s="32"/>
    </row>
    <row r="166" spans="1:7" ht="21.75" customHeight="1">
      <c r="A166" s="41"/>
      <c r="B166" s="41"/>
      <c r="C166" s="41"/>
      <c r="D166" s="41"/>
      <c r="E166" s="5"/>
      <c r="F166" s="5"/>
      <c r="G166" s="32"/>
    </row>
    <row r="167" spans="1:7" ht="21.75" customHeight="1">
      <c r="A167" s="185" t="s">
        <v>207</v>
      </c>
      <c r="B167" s="185"/>
      <c r="C167" s="185"/>
      <c r="D167" s="185"/>
      <c r="E167" s="185"/>
      <c r="F167" s="185"/>
      <c r="G167" s="185"/>
    </row>
    <row r="168" spans="1:7" ht="21.75" customHeight="1">
      <c r="A168" s="184" t="s">
        <v>101</v>
      </c>
      <c r="B168" s="184"/>
      <c r="C168" s="184"/>
      <c r="D168" s="184"/>
      <c r="E168" s="184"/>
      <c r="F168" s="184"/>
      <c r="G168" s="184"/>
    </row>
    <row r="169" spans="1:7" ht="21.75" customHeight="1">
      <c r="A169" s="184" t="s">
        <v>115</v>
      </c>
      <c r="B169" s="184"/>
      <c r="C169" s="184"/>
      <c r="D169" s="184"/>
      <c r="E169" s="184"/>
      <c r="F169" s="184"/>
      <c r="G169" s="184"/>
    </row>
    <row r="170" spans="1:7" ht="21.75" customHeight="1">
      <c r="A170" s="183" t="s">
        <v>122</v>
      </c>
      <c r="B170" s="183"/>
      <c r="C170" s="183"/>
      <c r="D170" s="183"/>
      <c r="E170" s="183"/>
      <c r="F170" s="183"/>
      <c r="G170" s="183"/>
    </row>
    <row r="171" spans="1:7" ht="21.75" customHeight="1">
      <c r="A171" s="40"/>
      <c r="B171" s="40"/>
      <c r="C171" s="40"/>
      <c r="D171" s="40"/>
      <c r="E171" s="40"/>
      <c r="F171" s="40"/>
      <c r="G171" s="5" t="s">
        <v>38</v>
      </c>
    </row>
    <row r="172" spans="1:7" ht="21.75" customHeight="1">
      <c r="A172" s="186" t="s">
        <v>133</v>
      </c>
      <c r="B172" s="186"/>
      <c r="C172" s="186"/>
      <c r="D172" s="186"/>
      <c r="E172" s="186"/>
      <c r="F172" s="40"/>
      <c r="G172" s="32">
        <v>4200</v>
      </c>
    </row>
    <row r="173" spans="1:7" ht="21.75" customHeight="1">
      <c r="A173" s="186" t="s">
        <v>134</v>
      </c>
      <c r="B173" s="186"/>
      <c r="C173" s="186"/>
      <c r="D173" s="186"/>
      <c r="E173" s="41"/>
      <c r="F173" s="40"/>
      <c r="G173" s="32">
        <v>4600</v>
      </c>
    </row>
    <row r="174" spans="1:7" ht="21.75" customHeight="1">
      <c r="A174" s="186" t="s">
        <v>135</v>
      </c>
      <c r="B174" s="186"/>
      <c r="C174" s="186"/>
      <c r="D174" s="186"/>
      <c r="E174" s="41"/>
      <c r="F174" s="40"/>
      <c r="G174" s="32">
        <v>6700</v>
      </c>
    </row>
    <row r="175" spans="1:7" ht="21.75" customHeight="1">
      <c r="A175" s="186" t="s">
        <v>136</v>
      </c>
      <c r="B175" s="186"/>
      <c r="C175" s="186"/>
      <c r="D175" s="186"/>
      <c r="E175" s="41"/>
      <c r="F175" s="40"/>
      <c r="G175" s="32">
        <v>3800</v>
      </c>
    </row>
    <row r="176" spans="1:7" ht="21.75" customHeight="1">
      <c r="A176" s="186" t="s">
        <v>127</v>
      </c>
      <c r="B176" s="186"/>
      <c r="C176" s="186"/>
      <c r="D176" s="186"/>
      <c r="E176" s="186"/>
      <c r="F176" s="40"/>
      <c r="G176" s="32">
        <v>255000</v>
      </c>
    </row>
    <row r="177" spans="1:7" ht="21.75" customHeight="1">
      <c r="A177" s="186" t="s">
        <v>128</v>
      </c>
      <c r="B177" s="186"/>
      <c r="C177" s="186"/>
      <c r="D177" s="186"/>
      <c r="E177" s="186"/>
      <c r="F177" s="40"/>
      <c r="G177" s="32">
        <v>277000</v>
      </c>
    </row>
    <row r="178" spans="1:7" ht="21.75" customHeight="1">
      <c r="A178" s="186" t="s">
        <v>129</v>
      </c>
      <c r="B178" s="186"/>
      <c r="C178" s="186"/>
      <c r="D178" s="186"/>
      <c r="E178" s="186"/>
      <c r="F178" s="40"/>
      <c r="G178" s="32">
        <v>190000</v>
      </c>
    </row>
    <row r="179" spans="1:7" ht="21.75" customHeight="1">
      <c r="A179" s="186" t="s">
        <v>130</v>
      </c>
      <c r="B179" s="186"/>
      <c r="C179" s="186"/>
      <c r="D179" s="186"/>
      <c r="E179" s="186"/>
      <c r="F179" s="40"/>
      <c r="G179" s="32">
        <v>10000</v>
      </c>
    </row>
    <row r="180" spans="1:7" ht="21.75" customHeight="1">
      <c r="A180" s="186" t="s">
        <v>131</v>
      </c>
      <c r="B180" s="186"/>
      <c r="C180" s="186"/>
      <c r="D180" s="186"/>
      <c r="E180" s="186"/>
      <c r="F180" s="40"/>
      <c r="G180" s="32">
        <v>88850</v>
      </c>
    </row>
    <row r="181" spans="1:7" ht="21.75" customHeight="1">
      <c r="A181" s="41" t="s">
        <v>124</v>
      </c>
      <c r="B181" s="41"/>
      <c r="C181" s="41"/>
      <c r="D181" s="41"/>
      <c r="E181" s="5"/>
      <c r="F181" s="5"/>
      <c r="G181" s="32">
        <v>7000</v>
      </c>
    </row>
    <row r="182" spans="1:7" ht="21.75" customHeight="1">
      <c r="A182" s="186" t="s">
        <v>123</v>
      </c>
      <c r="B182" s="186"/>
      <c r="C182" s="186"/>
      <c r="D182" s="186"/>
      <c r="E182" s="186"/>
      <c r="F182" s="5"/>
      <c r="G182" s="32">
        <v>7000</v>
      </c>
    </row>
    <row r="183" spans="1:7" ht="21.75" customHeight="1">
      <c r="A183" s="41" t="s">
        <v>132</v>
      </c>
      <c r="B183" s="41"/>
      <c r="C183" s="41"/>
      <c r="D183" s="32"/>
      <c r="E183" s="32"/>
      <c r="F183" s="32"/>
      <c r="G183" s="32">
        <v>80920.84</v>
      </c>
    </row>
    <row r="184" spans="1:7" ht="21.75" customHeight="1">
      <c r="A184" s="41" t="s">
        <v>125</v>
      </c>
      <c r="B184" s="41"/>
      <c r="C184" s="41"/>
      <c r="D184" s="41"/>
      <c r="E184" s="41"/>
      <c r="F184" s="5"/>
      <c r="G184" s="32">
        <v>52252.2</v>
      </c>
    </row>
    <row r="185" spans="1:7" ht="21.75" customHeight="1">
      <c r="A185" s="186" t="s">
        <v>126</v>
      </c>
      <c r="B185" s="186"/>
      <c r="C185" s="186"/>
      <c r="D185" s="186"/>
      <c r="E185" s="186"/>
      <c r="G185" s="21">
        <v>238000</v>
      </c>
    </row>
    <row r="186" spans="1:7" ht="21.75" customHeight="1">
      <c r="A186" s="186"/>
      <c r="B186" s="186"/>
      <c r="C186" s="186"/>
      <c r="D186" s="186"/>
      <c r="E186" s="186"/>
      <c r="G186" s="43"/>
    </row>
    <row r="187" spans="1:7" ht="21.75" customHeight="1" thickBot="1">
      <c r="A187" s="41"/>
      <c r="B187" s="41"/>
      <c r="C187" s="41"/>
      <c r="D187" s="41"/>
      <c r="E187" s="41"/>
      <c r="F187" s="5" t="s">
        <v>11</v>
      </c>
      <c r="G187" s="47">
        <f>SUM(G172:G186)</f>
        <v>1225323.04</v>
      </c>
    </row>
    <row r="188" spans="1:7" ht="21.75" customHeight="1" thickTop="1">
      <c r="A188" s="41"/>
      <c r="B188" s="41"/>
      <c r="C188" s="41"/>
      <c r="D188" s="41"/>
      <c r="E188" s="41"/>
      <c r="G188" s="21"/>
    </row>
    <row r="189" spans="1:7" ht="21.75" customHeight="1" thickBot="1">
      <c r="A189" s="5"/>
      <c r="B189" s="5"/>
      <c r="C189" s="5"/>
      <c r="D189" s="5"/>
      <c r="E189" s="5"/>
      <c r="F189" s="5"/>
      <c r="G189" s="47"/>
    </row>
    <row r="190" spans="1:6" ht="21.75" customHeight="1" thickTop="1">
      <c r="A190" s="6"/>
      <c r="B190" s="6"/>
      <c r="C190" s="6"/>
      <c r="F190" s="6"/>
    </row>
    <row r="191" spans="1:6" ht="21.75" customHeight="1">
      <c r="A191" s="6"/>
      <c r="B191" s="6"/>
      <c r="C191" s="6"/>
      <c r="F191" s="6"/>
    </row>
    <row r="192" spans="1:6" ht="21.75" customHeight="1">
      <c r="A192" s="6"/>
      <c r="B192" s="6"/>
      <c r="C192" s="6"/>
      <c r="F192" s="6"/>
    </row>
    <row r="193" spans="1:6" ht="21.75" customHeight="1">
      <c r="A193" s="6"/>
      <c r="B193" s="6"/>
      <c r="C193" s="6"/>
      <c r="F193" s="6"/>
    </row>
    <row r="194" spans="1:6" ht="21.75" customHeight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7" ht="21.75" customHeight="1">
      <c r="A830" s="32"/>
      <c r="B830" s="32"/>
      <c r="C830" s="32"/>
      <c r="D830" s="32"/>
      <c r="G830" s="45"/>
    </row>
    <row r="831" spans="1:7" ht="21.75" customHeight="1">
      <c r="A831" s="32"/>
      <c r="B831" s="32"/>
      <c r="C831" s="32"/>
      <c r="D831" s="32"/>
      <c r="G831" s="45"/>
    </row>
    <row r="832" spans="1:7" ht="21.75" customHeight="1">
      <c r="A832" s="32"/>
      <c r="B832" s="32"/>
      <c r="C832" s="32"/>
      <c r="D832" s="32"/>
      <c r="G832" s="45"/>
    </row>
    <row r="833" spans="1:7" ht="21.75" customHeight="1">
      <c r="A833" s="32"/>
      <c r="B833" s="32"/>
      <c r="C833" s="32"/>
      <c r="D833" s="32"/>
      <c r="G833" s="45"/>
    </row>
    <row r="834" spans="1:7" ht="21.75" customHeight="1">
      <c r="A834" s="32"/>
      <c r="B834" s="32"/>
      <c r="C834" s="32"/>
      <c r="D834" s="32"/>
      <c r="G834" s="45"/>
    </row>
  </sheetData>
  <sheetProtection/>
  <mergeCells count="82">
    <mergeCell ref="G41:G45"/>
    <mergeCell ref="A42:A45"/>
    <mergeCell ref="B42:B45"/>
    <mergeCell ref="C42:C45"/>
    <mergeCell ref="A174:D174"/>
    <mergeCell ref="A175:D175"/>
    <mergeCell ref="A172:E172"/>
    <mergeCell ref="A173:D173"/>
    <mergeCell ref="A168:G168"/>
    <mergeCell ref="A169:G169"/>
    <mergeCell ref="A185:E185"/>
    <mergeCell ref="A186:E186"/>
    <mergeCell ref="A182:E182"/>
    <mergeCell ref="A176:E176"/>
    <mergeCell ref="A177:E177"/>
    <mergeCell ref="A178:E178"/>
    <mergeCell ref="A179:E179"/>
    <mergeCell ref="A180:E180"/>
    <mergeCell ref="A170:G170"/>
    <mergeCell ref="A99:B99"/>
    <mergeCell ref="A110:C110"/>
    <mergeCell ref="A111:C111"/>
    <mergeCell ref="A102:C102"/>
    <mergeCell ref="A167:G167"/>
    <mergeCell ref="A114:G114"/>
    <mergeCell ref="A116:G116"/>
    <mergeCell ref="A115:G115"/>
    <mergeCell ref="A149:G149"/>
    <mergeCell ref="A121:B121"/>
    <mergeCell ref="A155:E155"/>
    <mergeCell ref="A122:D122"/>
    <mergeCell ref="A139:E139"/>
    <mergeCell ref="A150:G150"/>
    <mergeCell ref="A151:G151"/>
    <mergeCell ref="A152:G152"/>
    <mergeCell ref="A131:G131"/>
    <mergeCell ref="A132:G132"/>
    <mergeCell ref="A154:E154"/>
    <mergeCell ref="A159:E159"/>
    <mergeCell ref="A130:G130"/>
    <mergeCell ref="A143:E143"/>
    <mergeCell ref="A144:E144"/>
    <mergeCell ref="A145:E145"/>
    <mergeCell ref="A133:G133"/>
    <mergeCell ref="A90:G90"/>
    <mergeCell ref="A157:E157"/>
    <mergeCell ref="A158:E158"/>
    <mergeCell ref="A142:E142"/>
    <mergeCell ref="A156:E156"/>
    <mergeCell ref="A125:G125"/>
    <mergeCell ref="A129:E129"/>
    <mergeCell ref="A103:B103"/>
    <mergeCell ref="A98:D98"/>
    <mergeCell ref="A124:G124"/>
    <mergeCell ref="A113:G113"/>
    <mergeCell ref="A118:D118"/>
    <mergeCell ref="A93:G93"/>
    <mergeCell ref="A95:G95"/>
    <mergeCell ref="A105:C105"/>
    <mergeCell ref="A106:C106"/>
    <mergeCell ref="A107:C107"/>
    <mergeCell ref="A108:D108"/>
    <mergeCell ref="A88:G88"/>
    <mergeCell ref="A89:G89"/>
    <mergeCell ref="A96:G96"/>
    <mergeCell ref="A94:G94"/>
    <mergeCell ref="A2:G2"/>
    <mergeCell ref="A3:G3"/>
    <mergeCell ref="A4:D4"/>
    <mergeCell ref="E4:E8"/>
    <mergeCell ref="D5:D8"/>
    <mergeCell ref="F4:F8"/>
    <mergeCell ref="A1:G1"/>
    <mergeCell ref="A5:A8"/>
    <mergeCell ref="B5:B8"/>
    <mergeCell ref="C5:C8"/>
    <mergeCell ref="D42:D45"/>
    <mergeCell ref="A86:G86"/>
    <mergeCell ref="G4:G8"/>
    <mergeCell ref="A41:D41"/>
    <mergeCell ref="E41:E45"/>
    <mergeCell ref="F41:F45"/>
  </mergeCells>
  <printOptions/>
  <pageMargins left="0.0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="130" zoomScaleNormal="130" zoomScaleSheetLayoutView="100" zoomScalePageLayoutView="0" workbookViewId="0" topLeftCell="A25">
      <selection activeCell="A1" sqref="A1:D51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88" t="s">
        <v>148</v>
      </c>
      <c r="B1" s="188"/>
      <c r="C1" s="188"/>
      <c r="D1" s="188"/>
    </row>
    <row r="2" spans="1:4" ht="19.5" customHeight="1">
      <c r="A2" s="188" t="s">
        <v>35</v>
      </c>
      <c r="B2" s="188"/>
      <c r="C2" s="188"/>
      <c r="D2" s="188"/>
    </row>
    <row r="3" spans="1:4" ht="19.5" customHeight="1">
      <c r="A3" s="189" t="s">
        <v>321</v>
      </c>
      <c r="B3" s="189"/>
      <c r="C3" s="189"/>
      <c r="D3" s="189"/>
    </row>
    <row r="4" spans="1:4" ht="19.5" customHeight="1">
      <c r="A4" s="190" t="s">
        <v>14</v>
      </c>
      <c r="B4" s="191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175</v>
      </c>
      <c r="B6" s="69"/>
      <c r="C6" s="68"/>
      <c r="D6" s="68"/>
    </row>
    <row r="7" spans="1:4" s="66" customFormat="1" ht="19.5" customHeight="1">
      <c r="A7" s="67"/>
      <c r="B7" s="69" t="s">
        <v>175</v>
      </c>
      <c r="C7" s="68">
        <v>1079937.87</v>
      </c>
      <c r="D7" s="68">
        <f>4779087.57+929635.44+1079937.87</f>
        <v>6788660.88</v>
      </c>
    </row>
    <row r="8" spans="1:5" s="66" customFormat="1" ht="19.5" customHeight="1">
      <c r="A8" s="67"/>
      <c r="B8" s="69" t="s">
        <v>176</v>
      </c>
      <c r="C8" s="68"/>
      <c r="D8" s="68"/>
      <c r="E8" s="83">
        <f>+D7+D8</f>
        <v>6788660.88</v>
      </c>
    </row>
    <row r="9" spans="1:4" s="66" customFormat="1" ht="19.5" customHeight="1">
      <c r="A9" s="67"/>
      <c r="B9" s="69" t="s">
        <v>177</v>
      </c>
      <c r="C9" s="68"/>
      <c r="D9" s="68"/>
    </row>
    <row r="10" spans="1:4" s="66" customFormat="1" ht="19.5" customHeight="1">
      <c r="A10" s="67"/>
      <c r="B10" s="69" t="s">
        <v>178</v>
      </c>
      <c r="C10" s="68">
        <v>66304.82</v>
      </c>
      <c r="D10" s="68">
        <f>529772.01+127069.17+66304.82</f>
        <v>723146</v>
      </c>
    </row>
    <row r="11" spans="1:7" s="66" customFormat="1" ht="19.5" customHeight="1">
      <c r="A11" s="67"/>
      <c r="B11" s="69" t="s">
        <v>180</v>
      </c>
      <c r="C11" s="68">
        <v>169.46</v>
      </c>
      <c r="D11" s="68">
        <f>65.3+169.46</f>
        <v>234.76</v>
      </c>
      <c r="G11" s="66">
        <f>588.44-609.11</f>
        <v>-20.66999999999996</v>
      </c>
    </row>
    <row r="12" spans="1:4" s="66" customFormat="1" ht="19.5" customHeight="1">
      <c r="A12" s="67"/>
      <c r="B12" s="69" t="s">
        <v>325</v>
      </c>
      <c r="C12" s="68">
        <f>122000+10000</f>
        <v>132000</v>
      </c>
      <c r="D12" s="68">
        <v>132000</v>
      </c>
    </row>
    <row r="13" spans="1:4" s="66" customFormat="1" ht="19.5" customHeight="1">
      <c r="A13" s="67"/>
      <c r="B13" s="69" t="s">
        <v>326</v>
      </c>
      <c r="C13" s="68">
        <v>78000</v>
      </c>
      <c r="D13" s="68">
        <f>78000</f>
        <v>78000</v>
      </c>
    </row>
    <row r="14" spans="1:4" s="66" customFormat="1" ht="19.5" customHeight="1">
      <c r="A14" s="67"/>
      <c r="B14" s="69" t="s">
        <v>5</v>
      </c>
      <c r="C14" s="68"/>
      <c r="D14" s="68"/>
    </row>
    <row r="15" spans="1:4" s="66" customFormat="1" ht="19.5" customHeight="1" hidden="1">
      <c r="A15" s="67"/>
      <c r="B15" s="69"/>
      <c r="C15" s="68"/>
      <c r="D15" s="68"/>
    </row>
    <row r="16" spans="1:4" s="66" customFormat="1" ht="19.5" customHeight="1" hidden="1">
      <c r="A16" s="67"/>
      <c r="B16" s="69"/>
      <c r="C16" s="68"/>
      <c r="D16" s="68"/>
    </row>
    <row r="17" spans="1:4" s="66" customFormat="1" ht="19.5" customHeight="1" hidden="1">
      <c r="A17" s="67"/>
      <c r="B17" s="69"/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4" s="66" customFormat="1" ht="19.5" customHeight="1" hidden="1">
      <c r="A19" s="67"/>
      <c r="B19" s="69"/>
      <c r="C19" s="68"/>
      <c r="D19" s="68"/>
    </row>
    <row r="20" spans="1:7" s="66" customFormat="1" ht="19.5" customHeight="1" hidden="1">
      <c r="A20" s="67"/>
      <c r="B20" s="69"/>
      <c r="C20" s="68"/>
      <c r="D20" s="68"/>
      <c r="G20" s="96"/>
    </row>
    <row r="21" spans="1:4" s="66" customFormat="1" ht="19.5" customHeight="1" hidden="1">
      <c r="A21" s="67"/>
      <c r="B21" s="69" t="s">
        <v>114</v>
      </c>
      <c r="C21" s="68">
        <v>0</v>
      </c>
      <c r="D21" s="68">
        <v>0</v>
      </c>
    </row>
    <row r="22" spans="1:4" s="66" customFormat="1" ht="19.5" customHeight="1" hidden="1">
      <c r="A22" s="67"/>
      <c r="B22" s="69" t="s">
        <v>118</v>
      </c>
      <c r="C22" s="68">
        <v>0</v>
      </c>
      <c r="D22" s="68">
        <v>0</v>
      </c>
    </row>
    <row r="23" spans="1:5" s="66" customFormat="1" ht="19.5" customHeight="1" thickBot="1">
      <c r="A23" s="70" t="s">
        <v>11</v>
      </c>
      <c r="B23" s="69"/>
      <c r="C23" s="71">
        <f>SUM(C6:C22)</f>
        <v>1356412.1500000001</v>
      </c>
      <c r="D23" s="71">
        <f>SUM(D6:D22)</f>
        <v>7722041.64</v>
      </c>
      <c r="E23" s="96"/>
    </row>
    <row r="24" spans="1:4" s="66" customFormat="1" ht="19.5" customHeight="1" thickTop="1">
      <c r="A24" s="72" t="s">
        <v>20</v>
      </c>
      <c r="B24" s="69"/>
      <c r="C24" s="73"/>
      <c r="D24" s="68"/>
    </row>
    <row r="25" spans="1:4" s="66" customFormat="1" ht="19.5" customHeight="1">
      <c r="A25" s="67"/>
      <c r="B25" s="69" t="s">
        <v>181</v>
      </c>
      <c r="C25" s="84">
        <v>1442895.42</v>
      </c>
      <c r="D25" s="68">
        <f>1166476.27+1877350.08+1442895.42</f>
        <v>4486721.77</v>
      </c>
    </row>
    <row r="26" spans="1:7" s="66" customFormat="1" ht="19.5" customHeight="1">
      <c r="A26" s="67"/>
      <c r="B26" s="69" t="s">
        <v>182</v>
      </c>
      <c r="C26" s="84"/>
      <c r="D26" s="68"/>
      <c r="E26" s="83">
        <f>+D25+D26</f>
        <v>4486721.77</v>
      </c>
      <c r="F26" s="83">
        <f>+C25+C26</f>
        <v>1442895.42</v>
      </c>
      <c r="G26" s="96">
        <f>+D26-3541890</f>
        <v>-3541890</v>
      </c>
    </row>
    <row r="27" spans="1:4" s="66" customFormat="1" ht="19.5" customHeight="1" hidden="1">
      <c r="A27" s="67"/>
      <c r="B27" s="69" t="s">
        <v>183</v>
      </c>
      <c r="C27" s="68"/>
      <c r="D27" s="68"/>
    </row>
    <row r="28" spans="1:4" s="66" customFormat="1" ht="19.5" customHeight="1">
      <c r="A28" s="67"/>
      <c r="B28" s="69" t="s">
        <v>179</v>
      </c>
      <c r="C28" s="68">
        <v>80806.17</v>
      </c>
      <c r="D28" s="68">
        <f>104515.27+548257.74+80806.17</f>
        <v>733579.18</v>
      </c>
    </row>
    <row r="29" spans="1:7" s="66" customFormat="1" ht="19.5" customHeight="1">
      <c r="A29" s="67"/>
      <c r="B29" s="69" t="s">
        <v>114</v>
      </c>
      <c r="C29" s="68">
        <v>278572.44</v>
      </c>
      <c r="D29" s="68">
        <f>3421000+1310000+278572.44</f>
        <v>5009572.44</v>
      </c>
      <c r="G29" s="96">
        <f>+C23-'งบรับ-จ่ายเงิน'!D39</f>
        <v>-6365629.489999999</v>
      </c>
    </row>
    <row r="30" spans="1:4" s="66" customFormat="1" ht="19.5" customHeight="1">
      <c r="A30" s="67"/>
      <c r="B30" s="69" t="s">
        <v>5</v>
      </c>
      <c r="C30" s="68">
        <v>62300</v>
      </c>
      <c r="D30" s="68">
        <f>486000+62300</f>
        <v>548300</v>
      </c>
    </row>
    <row r="31" spans="1:4" s="66" customFormat="1" ht="19.5" customHeight="1">
      <c r="A31" s="67"/>
      <c r="B31" s="69" t="s">
        <v>184</v>
      </c>
      <c r="C31" s="84">
        <v>0</v>
      </c>
      <c r="D31" s="68">
        <v>210000</v>
      </c>
    </row>
    <row r="32" spans="1:4" s="66" customFormat="1" ht="19.5" customHeight="1" hidden="1">
      <c r="A32" s="67"/>
      <c r="B32" s="69" t="s">
        <v>116</v>
      </c>
      <c r="C32" s="84"/>
      <c r="D32" s="68"/>
    </row>
    <row r="33" spans="1:4" s="66" customFormat="1" ht="19.5" customHeight="1" hidden="1">
      <c r="A33" s="67"/>
      <c r="B33" s="69" t="s">
        <v>185</v>
      </c>
      <c r="C33" s="84"/>
      <c r="D33" s="68"/>
    </row>
    <row r="34" spans="1:4" s="66" customFormat="1" ht="19.5" customHeight="1" hidden="1">
      <c r="A34" s="67"/>
      <c r="B34" s="69" t="s">
        <v>109</v>
      </c>
      <c r="C34" s="84"/>
      <c r="D34" s="68"/>
    </row>
    <row r="35" spans="1:4" s="66" customFormat="1" ht="19.5" customHeight="1" hidden="1">
      <c r="A35" s="67"/>
      <c r="B35" s="69" t="s">
        <v>222</v>
      </c>
      <c r="C35" s="68"/>
      <c r="D35" s="68"/>
    </row>
    <row r="36" spans="1:4" s="66" customFormat="1" ht="19.5" customHeight="1" hidden="1">
      <c r="A36" s="67"/>
      <c r="B36" s="69" t="s">
        <v>186</v>
      </c>
      <c r="C36" s="68"/>
      <c r="D36" s="68"/>
    </row>
    <row r="37" spans="1:4" s="66" customFormat="1" ht="19.5" customHeight="1" hidden="1">
      <c r="A37" s="67"/>
      <c r="B37" s="69" t="s">
        <v>220</v>
      </c>
      <c r="C37" s="68"/>
      <c r="D37" s="68"/>
    </row>
    <row r="38" spans="1:4" s="66" customFormat="1" ht="19.5" customHeight="1">
      <c r="A38" s="67"/>
      <c r="B38" s="69"/>
      <c r="C38" s="68"/>
      <c r="D38" s="68"/>
    </row>
    <row r="39" spans="1:5" s="66" customFormat="1" ht="19.5" customHeight="1" thickBot="1">
      <c r="A39" s="70" t="s">
        <v>11</v>
      </c>
      <c r="B39" s="69"/>
      <c r="C39" s="71">
        <f>SUM(C25:C38)</f>
        <v>1864574.0299999998</v>
      </c>
      <c r="D39" s="71">
        <f>SUM(D25:D38)</f>
        <v>10988173.39</v>
      </c>
      <c r="E39" s="96"/>
    </row>
    <row r="40" spans="1:4" s="66" customFormat="1" ht="19.5" customHeight="1" thickBot="1" thickTop="1">
      <c r="A40" s="70" t="s">
        <v>37</v>
      </c>
      <c r="B40" s="69"/>
      <c r="C40" s="71">
        <f>C23-C39</f>
        <v>-508161.87999999966</v>
      </c>
      <c r="D40" s="71">
        <f>D23-D39</f>
        <v>-3266131.750000001</v>
      </c>
    </row>
    <row r="41" spans="1:4" s="66" customFormat="1" ht="19.5" customHeight="1" thickTop="1">
      <c r="A41" s="74"/>
      <c r="B41" s="64"/>
      <c r="C41" s="76"/>
      <c r="D41" s="76"/>
    </row>
    <row r="42" spans="1:7" s="85" customFormat="1" ht="19.5" customHeight="1">
      <c r="A42" s="85" t="s">
        <v>166</v>
      </c>
      <c r="D42" s="86"/>
      <c r="E42" s="87"/>
      <c r="F42" s="87"/>
      <c r="G42" s="88"/>
    </row>
    <row r="43" spans="1:7" s="85" customFormat="1" ht="19.5" customHeight="1">
      <c r="A43" s="89" t="s">
        <v>7</v>
      </c>
      <c r="B43" s="89"/>
      <c r="C43" s="89"/>
      <c r="D43" s="86"/>
      <c r="E43" s="87"/>
      <c r="F43" s="87"/>
      <c r="G43" s="88"/>
    </row>
    <row r="44" spans="1:7" s="85" customFormat="1" ht="19.5" customHeight="1">
      <c r="A44" s="89"/>
      <c r="B44" s="89"/>
      <c r="C44" s="89"/>
      <c r="D44" s="86"/>
      <c r="E44" s="87"/>
      <c r="F44" s="87"/>
      <c r="G44" s="88"/>
    </row>
    <row r="45" s="90" customFormat="1" ht="19.5" customHeight="1">
      <c r="A45" s="90" t="s">
        <v>309</v>
      </c>
    </row>
    <row r="46" s="90" customFormat="1" ht="19.5" customHeight="1">
      <c r="A46" s="90" t="s">
        <v>310</v>
      </c>
    </row>
    <row r="47" spans="1:7" s="90" customFormat="1" ht="19.5" customHeight="1">
      <c r="A47" s="91"/>
      <c r="B47" s="91"/>
      <c r="C47" s="91"/>
      <c r="D47" s="91"/>
      <c r="E47" s="91"/>
      <c r="F47" s="91"/>
      <c r="G47" s="92"/>
    </row>
    <row r="48" spans="1:7" s="85" customFormat="1" ht="19.5" customHeight="1">
      <c r="A48" s="187" t="s">
        <v>8</v>
      </c>
      <c r="B48" s="187"/>
      <c r="C48" s="187"/>
      <c r="D48" s="187"/>
      <c r="E48" s="94"/>
      <c r="F48" s="94"/>
      <c r="G48" s="94"/>
    </row>
    <row r="49" spans="1:7" s="85" customFormat="1" ht="19.5" customHeight="1">
      <c r="A49" s="93"/>
      <c r="B49" s="93"/>
      <c r="C49" s="93"/>
      <c r="D49" s="93"/>
      <c r="E49" s="93"/>
      <c r="F49" s="93"/>
      <c r="G49" s="95"/>
    </row>
    <row r="50" spans="1:7" s="85" customFormat="1" ht="19.5" customHeight="1">
      <c r="A50" s="187" t="s">
        <v>168</v>
      </c>
      <c r="B50" s="187"/>
      <c r="C50" s="187"/>
      <c r="D50" s="187"/>
      <c r="E50" s="94"/>
      <c r="F50" s="94"/>
      <c r="G50" s="94"/>
    </row>
    <row r="51" spans="1:7" s="85" customFormat="1" ht="19.5" customHeight="1">
      <c r="A51" s="187" t="s">
        <v>221</v>
      </c>
      <c r="B51" s="187"/>
      <c r="C51" s="187"/>
      <c r="D51" s="187"/>
      <c r="E51" s="94"/>
      <c r="F51" s="94"/>
      <c r="G51" s="94"/>
    </row>
  </sheetData>
  <sheetProtection/>
  <mergeCells count="7">
    <mergeCell ref="A48:D48"/>
    <mergeCell ref="A50:D50"/>
    <mergeCell ref="A51:D51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100" workbookViewId="0" topLeftCell="A55">
      <selection activeCell="A1" sqref="A1:F70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4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95" t="s">
        <v>148</v>
      </c>
      <c r="B1" s="195"/>
      <c r="C1" s="195"/>
      <c r="D1" s="195"/>
      <c r="E1" s="195"/>
      <c r="F1" s="195"/>
    </row>
    <row r="2" spans="1:6" ht="21">
      <c r="A2" s="195" t="s">
        <v>94</v>
      </c>
      <c r="B2" s="195"/>
      <c r="C2" s="195"/>
      <c r="D2" s="195"/>
      <c r="E2" s="195"/>
      <c r="F2" s="195"/>
    </row>
    <row r="3" spans="1:6" ht="21">
      <c r="A3" s="195" t="s">
        <v>322</v>
      </c>
      <c r="B3" s="195"/>
      <c r="C3" s="195"/>
      <c r="D3" s="195"/>
      <c r="E3" s="195"/>
      <c r="F3" s="195"/>
    </row>
    <row r="4" spans="1:6" ht="21">
      <c r="A4" s="77"/>
      <c r="B4" s="80"/>
      <c r="C4" s="79"/>
      <c r="D4" s="79"/>
      <c r="E4" s="79"/>
      <c r="F4" s="79" t="s">
        <v>187</v>
      </c>
    </row>
    <row r="5" spans="1:6" s="78" customFormat="1" ht="21">
      <c r="A5" s="196" t="s">
        <v>6</v>
      </c>
      <c r="B5" s="197"/>
      <c r="C5" s="198"/>
      <c r="D5" s="198"/>
      <c r="E5" s="198"/>
      <c r="F5" s="199"/>
    </row>
    <row r="6" spans="1:6" s="78" customFormat="1" ht="21">
      <c r="A6" s="193" t="s">
        <v>14</v>
      </c>
      <c r="B6" s="194" t="s">
        <v>0</v>
      </c>
      <c r="C6" s="192" t="s">
        <v>13</v>
      </c>
      <c r="D6" s="192" t="s">
        <v>95</v>
      </c>
      <c r="E6" s="192" t="s">
        <v>21</v>
      </c>
      <c r="F6" s="125" t="s">
        <v>46</v>
      </c>
    </row>
    <row r="7" spans="1:6" s="78" customFormat="1" ht="21">
      <c r="A7" s="193"/>
      <c r="B7" s="194"/>
      <c r="C7" s="192"/>
      <c r="D7" s="192"/>
      <c r="E7" s="192"/>
      <c r="F7" s="125" t="s">
        <v>13</v>
      </c>
    </row>
    <row r="8" spans="1:6" ht="21">
      <c r="A8" s="126" t="s">
        <v>22</v>
      </c>
      <c r="B8" s="127">
        <v>410000</v>
      </c>
      <c r="C8" s="128"/>
      <c r="D8" s="128"/>
      <c r="E8" s="128"/>
      <c r="F8" s="128"/>
    </row>
    <row r="9" spans="1:6" ht="21">
      <c r="A9" s="129" t="s">
        <v>23</v>
      </c>
      <c r="B9" s="130" t="s">
        <v>61</v>
      </c>
      <c r="C9" s="131"/>
      <c r="D9" s="131"/>
      <c r="E9" s="131"/>
      <c r="F9" s="131"/>
    </row>
    <row r="10" spans="1:6" ht="21">
      <c r="A10" s="132" t="s">
        <v>24</v>
      </c>
      <c r="B10" s="133">
        <v>411001</v>
      </c>
      <c r="C10" s="131">
        <v>47000</v>
      </c>
      <c r="D10" s="131">
        <v>0</v>
      </c>
      <c r="E10" s="131">
        <v>0</v>
      </c>
      <c r="F10" s="131">
        <f>E10-C10</f>
        <v>-47000</v>
      </c>
    </row>
    <row r="11" spans="1:6" ht="21">
      <c r="A11" s="132" t="s">
        <v>25</v>
      </c>
      <c r="B11" s="133">
        <v>411002</v>
      </c>
      <c r="C11" s="131">
        <v>25000</v>
      </c>
      <c r="D11" s="131">
        <v>0</v>
      </c>
      <c r="E11" s="131">
        <f>106.8</f>
        <v>106.8</v>
      </c>
      <c r="F11" s="131">
        <f>E11-C11</f>
        <v>-24893.2</v>
      </c>
    </row>
    <row r="12" spans="1:6" ht="21">
      <c r="A12" s="132" t="s">
        <v>200</v>
      </c>
      <c r="B12" s="133">
        <v>411003</v>
      </c>
      <c r="C12" s="131">
        <v>2600</v>
      </c>
      <c r="D12" s="131">
        <v>0</v>
      </c>
      <c r="E12" s="131">
        <v>0</v>
      </c>
      <c r="F12" s="131">
        <f>E12-C12</f>
        <v>-2600</v>
      </c>
    </row>
    <row r="13" spans="1:6" ht="21.75" thickBot="1">
      <c r="A13" s="134" t="s">
        <v>11</v>
      </c>
      <c r="B13" s="135"/>
      <c r="C13" s="136">
        <f>SUM(C10:C12)</f>
        <v>74600</v>
      </c>
      <c r="D13" s="136">
        <f>SUM(D10:D12)</f>
        <v>0</v>
      </c>
      <c r="E13" s="136">
        <f>SUM(E10:E12)</f>
        <v>106.8</v>
      </c>
      <c r="F13" s="136">
        <f>SUM(F10:F12)</f>
        <v>-74493.2</v>
      </c>
    </row>
    <row r="14" spans="1:6" ht="21.75" thickTop="1">
      <c r="A14" s="137" t="s">
        <v>26</v>
      </c>
      <c r="B14" s="138" t="s">
        <v>62</v>
      </c>
      <c r="C14" s="131"/>
      <c r="D14" s="131"/>
      <c r="E14" s="131"/>
      <c r="F14" s="131"/>
    </row>
    <row r="15" spans="1:6" ht="21">
      <c r="A15" s="139" t="s">
        <v>311</v>
      </c>
      <c r="B15" s="81" t="s">
        <v>205</v>
      </c>
      <c r="C15" s="131">
        <v>0</v>
      </c>
      <c r="D15" s="131">
        <v>0</v>
      </c>
      <c r="E15" s="131">
        <f>19.4</f>
        <v>19.4</v>
      </c>
      <c r="F15" s="131">
        <f>E15-C15</f>
        <v>19.4</v>
      </c>
    </row>
    <row r="16" spans="1:6" ht="21">
      <c r="A16" s="139" t="s">
        <v>312</v>
      </c>
      <c r="B16" s="81" t="s">
        <v>205</v>
      </c>
      <c r="C16" s="131">
        <v>1700</v>
      </c>
      <c r="D16" s="131">
        <v>0</v>
      </c>
      <c r="E16" s="131">
        <f>80</f>
        <v>80</v>
      </c>
      <c r="F16" s="131">
        <f aca="true" t="shared" si="0" ref="F16:F21">E16-C16</f>
        <v>-1620</v>
      </c>
    </row>
    <row r="17" spans="1:6" ht="21">
      <c r="A17" s="132" t="s">
        <v>313</v>
      </c>
      <c r="B17" s="133">
        <v>412128</v>
      </c>
      <c r="C17" s="131">
        <v>400</v>
      </c>
      <c r="D17" s="131">
        <v>0</v>
      </c>
      <c r="E17" s="131">
        <f>100+20</f>
        <v>120</v>
      </c>
      <c r="F17" s="131">
        <f t="shared" si="0"/>
        <v>-280</v>
      </c>
    </row>
    <row r="18" spans="1:6" ht="21">
      <c r="A18" s="132" t="s">
        <v>314</v>
      </c>
      <c r="B18" s="133">
        <v>412210</v>
      </c>
      <c r="C18" s="131">
        <v>168000</v>
      </c>
      <c r="D18" s="131">
        <v>0</v>
      </c>
      <c r="E18" s="131">
        <f>4860</f>
        <v>4860</v>
      </c>
      <c r="F18" s="131">
        <f t="shared" si="0"/>
        <v>-163140</v>
      </c>
    </row>
    <row r="19" spans="1:6" ht="21">
      <c r="A19" s="132" t="s">
        <v>315</v>
      </c>
      <c r="B19" s="127" t="s">
        <v>67</v>
      </c>
      <c r="C19" s="131">
        <v>700</v>
      </c>
      <c r="D19" s="131">
        <v>0</v>
      </c>
      <c r="E19" s="131">
        <v>0</v>
      </c>
      <c r="F19" s="131">
        <f t="shared" si="0"/>
        <v>-700</v>
      </c>
    </row>
    <row r="20" spans="1:6" ht="21">
      <c r="A20" s="132" t="s">
        <v>316</v>
      </c>
      <c r="B20" s="127" t="s">
        <v>201</v>
      </c>
      <c r="C20" s="131">
        <v>250</v>
      </c>
      <c r="D20" s="131">
        <v>636</v>
      </c>
      <c r="E20" s="131">
        <v>636</v>
      </c>
      <c r="F20" s="131">
        <f t="shared" si="0"/>
        <v>386</v>
      </c>
    </row>
    <row r="21" spans="1:6" ht="21">
      <c r="A21" s="132" t="s">
        <v>317</v>
      </c>
      <c r="B21" s="127" t="s">
        <v>206</v>
      </c>
      <c r="C21" s="131">
        <v>30</v>
      </c>
      <c r="D21" s="131">
        <v>26.65</v>
      </c>
      <c r="E21" s="131">
        <f>20.79+26.65</f>
        <v>47.44</v>
      </c>
      <c r="F21" s="131">
        <f t="shared" si="0"/>
        <v>17.439999999999998</v>
      </c>
    </row>
    <row r="22" spans="1:7" ht="21.75" thickBot="1">
      <c r="A22" s="134" t="s">
        <v>11</v>
      </c>
      <c r="B22" s="127"/>
      <c r="C22" s="136">
        <f>SUM(C16:C21)</f>
        <v>171080</v>
      </c>
      <c r="D22" s="136">
        <f>SUM(D15:D21)</f>
        <v>662.65</v>
      </c>
      <c r="E22" s="136">
        <f>SUM(E15:E21)</f>
        <v>5762.839999999999</v>
      </c>
      <c r="F22" s="136">
        <f>E22-C22</f>
        <v>-165317.16</v>
      </c>
      <c r="G22" s="97"/>
    </row>
    <row r="23" spans="1:6" ht="21.75" thickTop="1">
      <c r="A23" s="129" t="s">
        <v>27</v>
      </c>
      <c r="B23" s="130" t="s">
        <v>63</v>
      </c>
      <c r="C23" s="131"/>
      <c r="D23" s="131"/>
      <c r="E23" s="131"/>
      <c r="F23" s="131"/>
    </row>
    <row r="24" spans="1:6" ht="21">
      <c r="A24" s="132" t="s">
        <v>28</v>
      </c>
      <c r="B24" s="127" t="s">
        <v>68</v>
      </c>
      <c r="C24" s="131">
        <v>101400</v>
      </c>
      <c r="D24" s="131">
        <v>40936.19</v>
      </c>
      <c r="E24" s="131">
        <v>40936.19</v>
      </c>
      <c r="F24" s="131">
        <f>E24-C24</f>
        <v>-60463.81</v>
      </c>
    </row>
    <row r="25" spans="1:6" ht="21.75" thickBot="1">
      <c r="A25" s="134" t="s">
        <v>11</v>
      </c>
      <c r="B25" s="127"/>
      <c r="C25" s="136">
        <f>SUM(C24)</f>
        <v>101400</v>
      </c>
      <c r="D25" s="136">
        <f>SUM(D24)</f>
        <v>40936.19</v>
      </c>
      <c r="E25" s="136">
        <f>SUM(E24)</f>
        <v>40936.19</v>
      </c>
      <c r="F25" s="136">
        <f>SUM(F24)</f>
        <v>-60463.81</v>
      </c>
    </row>
    <row r="26" spans="1:6" ht="21.75" thickTop="1">
      <c r="A26" s="129" t="s">
        <v>188</v>
      </c>
      <c r="B26" s="130" t="s">
        <v>163</v>
      </c>
      <c r="C26" s="131"/>
      <c r="D26" s="131"/>
      <c r="E26" s="131"/>
      <c r="F26" s="131"/>
    </row>
    <row r="27" spans="1:6" ht="21">
      <c r="A27" s="132" t="s">
        <v>189</v>
      </c>
      <c r="B27" s="127" t="s">
        <v>202</v>
      </c>
      <c r="C27" s="131">
        <v>4400</v>
      </c>
      <c r="D27" s="131">
        <v>9424</v>
      </c>
      <c r="E27" s="131">
        <f>10752+5672+9424</f>
        <v>25848</v>
      </c>
      <c r="F27" s="131">
        <f>E27-C27</f>
        <v>21448</v>
      </c>
    </row>
    <row r="28" spans="1:6" ht="21.75" thickBot="1">
      <c r="A28" s="134" t="s">
        <v>11</v>
      </c>
      <c r="B28" s="127"/>
      <c r="C28" s="136">
        <f>SUM(C27)</f>
        <v>4400</v>
      </c>
      <c r="D28" s="136">
        <f>SUM(D27)</f>
        <v>9424</v>
      </c>
      <c r="E28" s="136">
        <f>SUM(E27)</f>
        <v>25848</v>
      </c>
      <c r="F28" s="136">
        <f>SUM(F27)</f>
        <v>21448</v>
      </c>
    </row>
    <row r="29" spans="1:6" ht="21.75" thickTop="1">
      <c r="A29" s="129" t="s">
        <v>29</v>
      </c>
      <c r="B29" s="130" t="s">
        <v>64</v>
      </c>
      <c r="C29" s="131"/>
      <c r="D29" s="131"/>
      <c r="E29" s="131"/>
      <c r="F29" s="131"/>
    </row>
    <row r="30" spans="1:6" ht="21">
      <c r="A30" s="132" t="s">
        <v>30</v>
      </c>
      <c r="B30" s="127" t="s">
        <v>69</v>
      </c>
      <c r="C30" s="131">
        <v>55700</v>
      </c>
      <c r="D30" s="140">
        <v>0</v>
      </c>
      <c r="E30" s="131">
        <f>60000</f>
        <v>60000</v>
      </c>
      <c r="F30" s="131">
        <f>E30-C30</f>
        <v>4300</v>
      </c>
    </row>
    <row r="31" spans="1:6" ht="21">
      <c r="A31" s="132" t="s">
        <v>190</v>
      </c>
      <c r="B31" s="127" t="s">
        <v>70</v>
      </c>
      <c r="C31" s="131">
        <v>19120</v>
      </c>
      <c r="D31" s="140">
        <v>0</v>
      </c>
      <c r="E31" s="131">
        <v>0</v>
      </c>
      <c r="F31" s="131">
        <f>E31-C31</f>
        <v>-19120</v>
      </c>
    </row>
    <row r="32" spans="1:6" ht="21.75" thickBot="1">
      <c r="A32" s="134" t="s">
        <v>11</v>
      </c>
      <c r="B32" s="127"/>
      <c r="C32" s="136">
        <f>SUM(C30:C31)</f>
        <v>74820</v>
      </c>
      <c r="D32" s="136">
        <f>SUM(D30:D31)</f>
        <v>0</v>
      </c>
      <c r="E32" s="136">
        <f>SUM(E30:E31)</f>
        <v>60000</v>
      </c>
      <c r="F32" s="136">
        <f>SUM(F30:F31)</f>
        <v>-14820</v>
      </c>
    </row>
    <row r="33" spans="1:6" ht="21.75" thickTop="1">
      <c r="A33" s="129" t="s">
        <v>40</v>
      </c>
      <c r="B33" s="130" t="s">
        <v>65</v>
      </c>
      <c r="C33" s="131"/>
      <c r="D33" s="131"/>
      <c r="E33" s="131"/>
      <c r="F33" s="131"/>
    </row>
    <row r="34" spans="1:6" ht="21">
      <c r="A34" s="132" t="s">
        <v>191</v>
      </c>
      <c r="B34" s="127" t="s">
        <v>203</v>
      </c>
      <c r="C34" s="131">
        <v>0</v>
      </c>
      <c r="D34" s="131">
        <v>0</v>
      </c>
      <c r="E34" s="131">
        <v>0</v>
      </c>
      <c r="F34" s="131">
        <f>E34-C34</f>
        <v>0</v>
      </c>
    </row>
    <row r="35" spans="1:6" ht="21.75" thickBot="1">
      <c r="A35" s="141" t="s">
        <v>11</v>
      </c>
      <c r="B35" s="142"/>
      <c r="C35" s="136">
        <f>SUM(C34)</f>
        <v>0</v>
      </c>
      <c r="D35" s="136">
        <f>+D34</f>
        <v>0</v>
      </c>
      <c r="E35" s="136">
        <f>+E34</f>
        <v>0</v>
      </c>
      <c r="F35" s="136">
        <f>E35-C35</f>
        <v>0</v>
      </c>
    </row>
    <row r="36" spans="1:6" ht="21.75" thickTop="1">
      <c r="A36" s="143" t="s">
        <v>41</v>
      </c>
      <c r="B36" s="130">
        <v>420000</v>
      </c>
      <c r="C36" s="131"/>
      <c r="D36" s="131"/>
      <c r="E36" s="131"/>
      <c r="F36" s="131"/>
    </row>
    <row r="37" spans="1:6" ht="21">
      <c r="A37" s="129" t="s">
        <v>31</v>
      </c>
      <c r="B37" s="130">
        <v>421000</v>
      </c>
      <c r="C37" s="131"/>
      <c r="D37" s="131"/>
      <c r="E37" s="131"/>
      <c r="F37" s="131"/>
    </row>
    <row r="38" spans="1:6" ht="21">
      <c r="A38" s="132" t="s">
        <v>73</v>
      </c>
      <c r="B38" s="127">
        <v>421001</v>
      </c>
      <c r="C38" s="131">
        <v>315740</v>
      </c>
      <c r="D38" s="131">
        <v>0</v>
      </c>
      <c r="E38" s="131">
        <v>0</v>
      </c>
      <c r="F38" s="131">
        <f>E38-C38</f>
        <v>-315740</v>
      </c>
    </row>
    <row r="39" spans="1:6" ht="21">
      <c r="A39" s="132" t="s">
        <v>192</v>
      </c>
      <c r="B39" s="133">
        <v>421002</v>
      </c>
      <c r="C39" s="131">
        <v>8446790</v>
      </c>
      <c r="D39" s="131">
        <v>675249.96</v>
      </c>
      <c r="E39" s="131">
        <f>726259.8+637024.23+675249.96</f>
        <v>2038533.99</v>
      </c>
      <c r="F39" s="131">
        <f>E39-C39</f>
        <v>-6408256.01</v>
      </c>
    </row>
    <row r="40" spans="1:6" ht="21">
      <c r="A40" s="132" t="s">
        <v>193</v>
      </c>
      <c r="B40" s="133">
        <v>421004</v>
      </c>
      <c r="C40" s="131">
        <v>1876980</v>
      </c>
      <c r="D40" s="131">
        <v>124219.02</v>
      </c>
      <c r="E40" s="131">
        <f>188041.98+60375.4+124219.02</f>
        <v>372636.4</v>
      </c>
      <c r="F40" s="131">
        <f aca="true" t="shared" si="1" ref="F40:F46">E40-C40</f>
        <v>-1504343.6</v>
      </c>
    </row>
    <row r="41" spans="1:6" ht="21">
      <c r="A41" s="132" t="s">
        <v>194</v>
      </c>
      <c r="B41" s="133">
        <v>421005</v>
      </c>
      <c r="C41" s="131">
        <v>97970</v>
      </c>
      <c r="D41" s="131">
        <v>0</v>
      </c>
      <c r="E41" s="131">
        <f>0</f>
        <v>0</v>
      </c>
      <c r="F41" s="131">
        <f t="shared" si="1"/>
        <v>-97970</v>
      </c>
    </row>
    <row r="42" spans="1:6" ht="21">
      <c r="A42" s="132" t="s">
        <v>195</v>
      </c>
      <c r="B42" s="133">
        <v>421006</v>
      </c>
      <c r="C42" s="131">
        <v>957950</v>
      </c>
      <c r="D42" s="131">
        <v>66749.66</v>
      </c>
      <c r="E42" s="131">
        <f>70923.88+57613.29+66749.66</f>
        <v>195286.83000000002</v>
      </c>
      <c r="F42" s="131">
        <f t="shared" si="1"/>
        <v>-762663.1699999999</v>
      </c>
    </row>
    <row r="43" spans="1:6" ht="21">
      <c r="A43" s="132" t="s">
        <v>196</v>
      </c>
      <c r="B43" s="133">
        <v>421007</v>
      </c>
      <c r="C43" s="131">
        <v>1650000</v>
      </c>
      <c r="D43" s="131">
        <v>155452.39</v>
      </c>
      <c r="E43" s="131">
        <f>197814.08+142055.12+155452.39</f>
        <v>495321.58999999997</v>
      </c>
      <c r="F43" s="131">
        <f t="shared" si="1"/>
        <v>-1154678.4100000001</v>
      </c>
    </row>
    <row r="44" spans="1:6" ht="21">
      <c r="A44" s="132" t="s">
        <v>197</v>
      </c>
      <c r="B44" s="133">
        <v>421012</v>
      </c>
      <c r="C44" s="131">
        <v>91300</v>
      </c>
      <c r="D44" s="131">
        <v>0</v>
      </c>
      <c r="E44" s="131">
        <f>0</f>
        <v>0</v>
      </c>
      <c r="F44" s="131">
        <f t="shared" si="1"/>
        <v>-91300</v>
      </c>
    </row>
    <row r="45" spans="1:6" ht="21">
      <c r="A45" s="132" t="s">
        <v>198</v>
      </c>
      <c r="B45" s="133">
        <v>421013</v>
      </c>
      <c r="C45" s="131">
        <v>46870</v>
      </c>
      <c r="D45" s="131">
        <v>0</v>
      </c>
      <c r="E45" s="131">
        <f>6762.24</f>
        <v>6762.24</v>
      </c>
      <c r="F45" s="131">
        <f t="shared" si="1"/>
        <v>-40107.76</v>
      </c>
    </row>
    <row r="46" spans="1:6" ht="21">
      <c r="A46" s="132" t="s">
        <v>199</v>
      </c>
      <c r="B46" s="133">
        <v>421015</v>
      </c>
      <c r="C46" s="131">
        <v>353200</v>
      </c>
      <c r="D46" s="131">
        <v>7244</v>
      </c>
      <c r="E46" s="131">
        <f>3408+26856+7244</f>
        <v>37508</v>
      </c>
      <c r="F46" s="131">
        <f t="shared" si="1"/>
        <v>-315692</v>
      </c>
    </row>
    <row r="47" spans="1:6" ht="21.75" thickBot="1">
      <c r="A47" s="134" t="s">
        <v>11</v>
      </c>
      <c r="B47" s="133"/>
      <c r="C47" s="136">
        <f>SUM(C38:C46)</f>
        <v>13836800</v>
      </c>
      <c r="D47" s="136">
        <f>SUM(D38:D46)</f>
        <v>1028915.03</v>
      </c>
      <c r="E47" s="136">
        <f>SUM(E38:E46)</f>
        <v>3146049.0500000003</v>
      </c>
      <c r="F47" s="136">
        <f>SUM(F38:F46)</f>
        <v>-10690750.95</v>
      </c>
    </row>
    <row r="48" spans="1:6" ht="21.75" thickTop="1">
      <c r="A48" s="137" t="s">
        <v>42</v>
      </c>
      <c r="B48" s="144">
        <v>430000</v>
      </c>
      <c r="C48" s="140"/>
      <c r="D48" s="140"/>
      <c r="E48" s="140"/>
      <c r="F48" s="140"/>
    </row>
    <row r="49" spans="1:6" ht="21">
      <c r="A49" s="129" t="s">
        <v>60</v>
      </c>
      <c r="B49" s="144">
        <v>431000</v>
      </c>
      <c r="C49" s="131"/>
      <c r="D49" s="131"/>
      <c r="E49" s="131"/>
      <c r="F49" s="131"/>
    </row>
    <row r="50" spans="1:6" ht="21">
      <c r="A50" s="132" t="s">
        <v>43</v>
      </c>
      <c r="B50" s="133">
        <v>431002</v>
      </c>
      <c r="C50" s="131">
        <v>12636900</v>
      </c>
      <c r="D50" s="131">
        <v>0</v>
      </c>
      <c r="E50" s="131">
        <f>3509958</f>
        <v>3509958</v>
      </c>
      <c r="F50" s="131">
        <f>E50-C50</f>
        <v>-9126942</v>
      </c>
    </row>
    <row r="51" spans="1:6" ht="21">
      <c r="A51" s="134" t="s">
        <v>11</v>
      </c>
      <c r="B51" s="133"/>
      <c r="C51" s="145">
        <f>SUM(C50)</f>
        <v>12636900</v>
      </c>
      <c r="D51" s="145">
        <f>SUM(D50:D50)</f>
        <v>0</v>
      </c>
      <c r="E51" s="145">
        <f>SUM(E50:E50)</f>
        <v>3509958</v>
      </c>
      <c r="F51" s="145">
        <f>SUM(F50:F50)</f>
        <v>-9126942</v>
      </c>
    </row>
    <row r="52" spans="1:7" ht="21.75" thickBot="1">
      <c r="A52" s="141" t="s">
        <v>17</v>
      </c>
      <c r="B52" s="146"/>
      <c r="C52" s="147">
        <f>+C13+C22+C25+C28+C32+C35+C47+C51</f>
        <v>26900000</v>
      </c>
      <c r="D52" s="147">
        <f>+D13+D22+D25+D28+D32+D35+D47+D51</f>
        <v>1079937.87</v>
      </c>
      <c r="E52" s="147">
        <f>+E13+E22+E25+E28+E32+E35+E47+E51</f>
        <v>6788660.880000001</v>
      </c>
      <c r="F52" s="147">
        <f>E52-C52</f>
        <v>-20111339.119999997</v>
      </c>
      <c r="G52" s="97">
        <f>+E52-7564535.38</f>
        <v>-775874.4999999991</v>
      </c>
    </row>
    <row r="53" spans="1:6" ht="21.75" thickTop="1">
      <c r="A53" s="148" t="s">
        <v>96</v>
      </c>
      <c r="B53" s="144">
        <v>440000</v>
      </c>
      <c r="C53" s="140"/>
      <c r="D53" s="140"/>
      <c r="E53" s="140"/>
      <c r="F53" s="140"/>
    </row>
    <row r="54" spans="1:6" ht="21">
      <c r="A54" s="129" t="s">
        <v>97</v>
      </c>
      <c r="B54" s="144">
        <v>441000</v>
      </c>
      <c r="C54" s="131"/>
      <c r="D54" s="131"/>
      <c r="E54" s="131"/>
      <c r="F54" s="131"/>
    </row>
    <row r="55" spans="1:6" ht="21.75" thickBot="1">
      <c r="A55" s="149" t="s">
        <v>11</v>
      </c>
      <c r="B55" s="133"/>
      <c r="C55" s="136">
        <f>+C54</f>
        <v>0</v>
      </c>
      <c r="D55" s="136">
        <f>+D54</f>
        <v>0</v>
      </c>
      <c r="E55" s="136">
        <f>+E54</f>
        <v>0</v>
      </c>
      <c r="F55" s="136">
        <f>+C55-E55</f>
        <v>0</v>
      </c>
    </row>
    <row r="56" spans="1:6" ht="22.5" thickBot="1" thickTop="1">
      <c r="A56" s="150" t="s">
        <v>144</v>
      </c>
      <c r="B56" s="146"/>
      <c r="C56" s="136">
        <f>+C55+C52</f>
        <v>26900000</v>
      </c>
      <c r="D56" s="136">
        <f>+D52+D55</f>
        <v>1079937.87</v>
      </c>
      <c r="E56" s="136">
        <f>+E52+E55</f>
        <v>6788660.880000001</v>
      </c>
      <c r="F56" s="136">
        <f>SUM(F52+F55)</f>
        <v>-20111339.119999997</v>
      </c>
    </row>
    <row r="57" spans="1:8" ht="21.75" thickTop="1">
      <c r="A57" s="139" t="s">
        <v>204</v>
      </c>
      <c r="B57" s="133"/>
      <c r="C57" s="131">
        <v>0</v>
      </c>
      <c r="D57" s="131"/>
      <c r="E57" s="131">
        <v>0</v>
      </c>
      <c r="F57" s="131"/>
      <c r="H57" s="97">
        <f>+E59-5708723.01</f>
        <v>1079937.870000001</v>
      </c>
    </row>
    <row r="58" spans="1:6" ht="21">
      <c r="A58" s="134" t="s">
        <v>11</v>
      </c>
      <c r="B58" s="133"/>
      <c r="C58" s="145">
        <f>SUM(C57)</f>
        <v>0</v>
      </c>
      <c r="D58" s="145"/>
      <c r="E58" s="145">
        <f>SUM(E57:E57)</f>
        <v>0</v>
      </c>
      <c r="F58" s="145">
        <f>SUM(F57:F57)</f>
        <v>0</v>
      </c>
    </row>
    <row r="59" spans="1:7" ht="21.75" thickBot="1">
      <c r="A59" s="134" t="s">
        <v>32</v>
      </c>
      <c r="B59" s="133"/>
      <c r="C59" s="147">
        <f>+C56+C58</f>
        <v>26900000</v>
      </c>
      <c r="D59" s="147">
        <f>+D56+D58</f>
        <v>1079937.87</v>
      </c>
      <c r="E59" s="147">
        <f>+E56+E58</f>
        <v>6788660.880000001</v>
      </c>
      <c r="F59" s="147">
        <f>SUM(F56+F58)</f>
        <v>-20111339.119999997</v>
      </c>
      <c r="G59" s="158">
        <f>+C59-E59</f>
        <v>20111339.119999997</v>
      </c>
    </row>
    <row r="60" ht="21.75" thickTop="1"/>
    <row r="61" spans="1:7" s="6" customFormat="1" ht="21.75" customHeight="1">
      <c r="A61" s="6" t="s">
        <v>166</v>
      </c>
      <c r="D61" s="35"/>
      <c r="E61" s="36"/>
      <c r="F61" s="36"/>
      <c r="G61" s="37"/>
    </row>
    <row r="62" spans="1:7" s="6" customFormat="1" ht="21.75" customHeight="1">
      <c r="A62" s="38" t="s">
        <v>7</v>
      </c>
      <c r="B62" s="38"/>
      <c r="C62" s="104"/>
      <c r="D62" s="35"/>
      <c r="E62" s="36"/>
      <c r="F62" s="36"/>
      <c r="G62" s="37"/>
    </row>
    <row r="63" spans="1:9" s="6" customFormat="1" ht="21.75" customHeight="1">
      <c r="A63" s="38"/>
      <c r="B63" s="38"/>
      <c r="C63" s="38"/>
      <c r="D63" s="35"/>
      <c r="E63" s="36"/>
      <c r="F63" s="36"/>
      <c r="G63" s="37"/>
      <c r="I63" s="82"/>
    </row>
    <row r="64" s="58" customFormat="1" ht="21.75" customHeight="1">
      <c r="A64" s="58" t="s">
        <v>284</v>
      </c>
    </row>
    <row r="65" s="58" customFormat="1" ht="21.75" customHeight="1">
      <c r="A65" s="58" t="s">
        <v>173</v>
      </c>
    </row>
    <row r="66" spans="1:7" s="58" customFormat="1" ht="21.75" customHeight="1">
      <c r="A66" s="59"/>
      <c r="B66" s="59"/>
      <c r="C66" s="59"/>
      <c r="D66" s="59"/>
      <c r="E66" s="59"/>
      <c r="F66" s="59"/>
      <c r="G66" s="60"/>
    </row>
    <row r="67" spans="1:7" s="6" customFormat="1" ht="21.75" customHeight="1">
      <c r="A67" s="173" t="s">
        <v>8</v>
      </c>
      <c r="B67" s="173"/>
      <c r="C67" s="173"/>
      <c r="D67" s="173"/>
      <c r="E67" s="173"/>
      <c r="F67" s="173"/>
      <c r="G67" s="98"/>
    </row>
    <row r="68" spans="1:7" s="6" customFormat="1" ht="21.75" customHeight="1">
      <c r="A68" s="17"/>
      <c r="B68" s="17"/>
      <c r="C68" s="17"/>
      <c r="D68" s="17"/>
      <c r="E68" s="17"/>
      <c r="F68" s="17"/>
      <c r="G68" s="32"/>
    </row>
    <row r="69" spans="1:7" s="6" customFormat="1" ht="21.75" customHeight="1">
      <c r="A69" s="173" t="s">
        <v>168</v>
      </c>
      <c r="B69" s="173"/>
      <c r="C69" s="173"/>
      <c r="D69" s="173"/>
      <c r="E69" s="173"/>
      <c r="F69" s="173"/>
      <c r="G69" s="98"/>
    </row>
    <row r="70" spans="1:7" s="6" customFormat="1" ht="21.75" customHeight="1">
      <c r="A70" s="173" t="s">
        <v>167</v>
      </c>
      <c r="B70" s="173"/>
      <c r="C70" s="173"/>
      <c r="D70" s="173"/>
      <c r="E70" s="173"/>
      <c r="F70" s="173"/>
      <c r="G70" s="98"/>
    </row>
  </sheetData>
  <sheetProtection/>
  <mergeCells count="12">
    <mergeCell ref="A70:F70"/>
    <mergeCell ref="A1:F1"/>
    <mergeCell ref="A5:F5"/>
    <mergeCell ref="A2:F2"/>
    <mergeCell ref="A3:F3"/>
    <mergeCell ref="D6:D7"/>
    <mergeCell ref="E6:E7"/>
    <mergeCell ref="A6:A7"/>
    <mergeCell ref="B6:B7"/>
    <mergeCell ref="C6:C7"/>
    <mergeCell ref="A67:F67"/>
    <mergeCell ref="A69:F69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20" zoomScaleNormal="120" zoomScalePageLayoutView="0" workbookViewId="0" topLeftCell="A34">
      <selection activeCell="A1" sqref="A1:C32"/>
    </sheetView>
  </sheetViews>
  <sheetFormatPr defaultColWidth="9.140625" defaultRowHeight="12.75"/>
  <cols>
    <col min="1" max="1" width="50.421875" style="113" bestFit="1" customWidth="1"/>
    <col min="2" max="2" width="13.421875" style="105" bestFit="1" customWidth="1"/>
    <col min="3" max="3" width="18.140625" style="105" bestFit="1" customWidth="1"/>
    <col min="4" max="4" width="14.421875" style="105" customWidth="1"/>
    <col min="5" max="5" width="14.28125" style="114" customWidth="1"/>
    <col min="6" max="6" width="11.00390625" style="105" bestFit="1" customWidth="1"/>
    <col min="7" max="7" width="12.00390625" style="105" bestFit="1" customWidth="1"/>
    <col min="8" max="8" width="10.421875" style="105" bestFit="1" customWidth="1"/>
    <col min="9" max="16384" width="9.140625" style="105" customWidth="1"/>
  </cols>
  <sheetData>
    <row r="1" spans="1:7" ht="23.25">
      <c r="A1" s="200" t="s">
        <v>148</v>
      </c>
      <c r="B1" s="200"/>
      <c r="C1" s="200"/>
      <c r="D1" s="159"/>
      <c r="F1" s="106"/>
      <c r="G1" s="106"/>
    </row>
    <row r="2" spans="1:7" ht="23.25">
      <c r="A2" s="201" t="s">
        <v>294</v>
      </c>
      <c r="B2" s="201"/>
      <c r="C2" s="201"/>
      <c r="D2" s="160"/>
      <c r="F2" s="106"/>
      <c r="G2" s="106"/>
    </row>
    <row r="3" spans="1:8" ht="23.25">
      <c r="A3" s="202" t="s">
        <v>327</v>
      </c>
      <c r="B3" s="202"/>
      <c r="C3" s="202"/>
      <c r="D3" s="160"/>
      <c r="F3" s="117"/>
      <c r="G3" s="117"/>
      <c r="H3" s="115"/>
    </row>
    <row r="4" spans="1:7" ht="23.25">
      <c r="A4" s="151" t="s">
        <v>14</v>
      </c>
      <c r="B4" s="152" t="s">
        <v>285</v>
      </c>
      <c r="C4" s="152" t="s">
        <v>286</v>
      </c>
      <c r="D4" s="161"/>
      <c r="F4" s="117"/>
      <c r="G4" s="117"/>
    </row>
    <row r="5" spans="1:7" ht="23.25">
      <c r="A5" s="153" t="s">
        <v>287</v>
      </c>
      <c r="B5" s="154">
        <v>2330</v>
      </c>
      <c r="C5" s="154">
        <f>1330+3330+2330</f>
        <v>6990</v>
      </c>
      <c r="D5" s="162"/>
      <c r="F5" s="106"/>
      <c r="G5" s="106"/>
    </row>
    <row r="6" spans="1:7" ht="23.25">
      <c r="A6" s="153" t="s">
        <v>288</v>
      </c>
      <c r="B6" s="155">
        <v>359200</v>
      </c>
      <c r="C6" s="155">
        <f>361200+359900+359200</f>
        <v>1080300</v>
      </c>
      <c r="D6" s="162"/>
      <c r="F6" s="106"/>
      <c r="G6" s="106"/>
    </row>
    <row r="7" spans="1:7" ht="23.25">
      <c r="A7" s="153" t="s">
        <v>290</v>
      </c>
      <c r="B7" s="155">
        <v>102400</v>
      </c>
      <c r="C7" s="155">
        <f>104000+103200+102400</f>
        <v>309600</v>
      </c>
      <c r="D7" s="162"/>
      <c r="F7" s="106"/>
      <c r="G7" s="106"/>
    </row>
    <row r="8" spans="1:8" ht="23.25">
      <c r="A8" s="153" t="s">
        <v>289</v>
      </c>
      <c r="B8" s="154">
        <v>500</v>
      </c>
      <c r="C8" s="154">
        <f>500+500+500</f>
        <v>1500</v>
      </c>
      <c r="D8" s="162"/>
      <c r="F8" s="106"/>
      <c r="G8" s="106"/>
      <c r="H8" s="115"/>
    </row>
    <row r="9" spans="1:7" ht="23.25">
      <c r="A9" s="153" t="s">
        <v>291</v>
      </c>
      <c r="B9" s="154">
        <v>0</v>
      </c>
      <c r="C9" s="154">
        <v>0</v>
      </c>
      <c r="D9" s="162"/>
      <c r="F9" s="106"/>
      <c r="G9" s="106"/>
    </row>
    <row r="10" spans="1:7" ht="23.25">
      <c r="A10" s="153" t="s">
        <v>292</v>
      </c>
      <c r="B10" s="154">
        <v>0</v>
      </c>
      <c r="C10" s="154">
        <f>142631</f>
        <v>142631</v>
      </c>
      <c r="D10" s="162"/>
      <c r="F10" s="106"/>
      <c r="G10" s="106"/>
    </row>
    <row r="11" spans="1:7" ht="23.25">
      <c r="A11" s="153" t="s">
        <v>328</v>
      </c>
      <c r="B11" s="154">
        <v>73200</v>
      </c>
      <c r="C11" s="154">
        <v>73200</v>
      </c>
      <c r="D11" s="162"/>
      <c r="F11" s="106"/>
      <c r="G11" s="106"/>
    </row>
    <row r="12" spans="1:4" ht="24" thickBot="1">
      <c r="A12" s="156" t="s">
        <v>308</v>
      </c>
      <c r="B12" s="157">
        <f>+SUM(B5:B11)</f>
        <v>537630</v>
      </c>
      <c r="C12" s="157">
        <f>+SUM(C5:C11)</f>
        <v>1614221</v>
      </c>
      <c r="D12" s="163"/>
    </row>
    <row r="13" spans="1:4" ht="23.25">
      <c r="A13" s="200" t="s">
        <v>148</v>
      </c>
      <c r="B13" s="200"/>
      <c r="C13" s="200"/>
      <c r="D13" s="159"/>
    </row>
    <row r="14" spans="1:4" ht="23.25">
      <c r="A14" s="201" t="s">
        <v>295</v>
      </c>
      <c r="B14" s="201"/>
      <c r="C14" s="201"/>
      <c r="D14" s="160"/>
    </row>
    <row r="15" spans="1:4" ht="23.25">
      <c r="A15" s="202" t="s">
        <v>327</v>
      </c>
      <c r="B15" s="202"/>
      <c r="C15" s="202"/>
      <c r="D15" s="160"/>
    </row>
    <row r="16" spans="1:4" ht="23.25">
      <c r="A16" s="151" t="s">
        <v>14</v>
      </c>
      <c r="B16" s="152" t="s">
        <v>285</v>
      </c>
      <c r="C16" s="152" t="s">
        <v>286</v>
      </c>
      <c r="D16" s="161"/>
    </row>
    <row r="17" spans="1:4" ht="23.25">
      <c r="A17" s="153" t="s">
        <v>296</v>
      </c>
      <c r="B17" s="154">
        <v>42840</v>
      </c>
      <c r="C17" s="154">
        <f>42840+42840+42840</f>
        <v>128520</v>
      </c>
      <c r="D17" s="162"/>
    </row>
    <row r="18" spans="1:4" ht="23.25">
      <c r="A18" s="153" t="s">
        <v>297</v>
      </c>
      <c r="B18" s="155">
        <v>3510</v>
      </c>
      <c r="C18" s="155">
        <f>3510+3510+3510</f>
        <v>10530</v>
      </c>
      <c r="D18" s="162"/>
    </row>
    <row r="19" spans="1:4" ht="23.25">
      <c r="A19" s="153" t="s">
        <v>298</v>
      </c>
      <c r="B19" s="155">
        <v>3510</v>
      </c>
      <c r="C19" s="155">
        <f>3510+3510+3510</f>
        <v>10530</v>
      </c>
      <c r="D19" s="162"/>
    </row>
    <row r="20" spans="1:4" ht="23.25">
      <c r="A20" s="153" t="s">
        <v>299</v>
      </c>
      <c r="B20" s="154">
        <v>7200</v>
      </c>
      <c r="C20" s="154">
        <f>7200+7200+7200</f>
        <v>21600</v>
      </c>
      <c r="D20" s="162"/>
    </row>
    <row r="21" spans="1:4" ht="23.25">
      <c r="A21" s="153" t="s">
        <v>300</v>
      </c>
      <c r="B21" s="154">
        <v>121200</v>
      </c>
      <c r="C21" s="154">
        <f>121200+121200+121200</f>
        <v>363600</v>
      </c>
      <c r="D21" s="162"/>
    </row>
    <row r="22" spans="1:4" ht="24" thickBot="1">
      <c r="A22" s="156" t="s">
        <v>306</v>
      </c>
      <c r="B22" s="157">
        <f>+SUM(B17:B21)</f>
        <v>178260</v>
      </c>
      <c r="C22" s="157">
        <f>+SUM(C17:C21)</f>
        <v>534780</v>
      </c>
      <c r="D22" s="163"/>
    </row>
    <row r="23" spans="1:4" ht="23.25">
      <c r="A23" s="200" t="s">
        <v>148</v>
      </c>
      <c r="B23" s="200"/>
      <c r="C23" s="200"/>
      <c r="D23" s="159"/>
    </row>
    <row r="24" spans="1:4" ht="23.25">
      <c r="A24" s="201" t="s">
        <v>293</v>
      </c>
      <c r="B24" s="201"/>
      <c r="C24" s="201"/>
      <c r="D24" s="160"/>
    </row>
    <row r="25" spans="1:4" ht="23.25">
      <c r="A25" s="202" t="s">
        <v>327</v>
      </c>
      <c r="B25" s="202"/>
      <c r="C25" s="202"/>
      <c r="D25" s="160"/>
    </row>
    <row r="26" spans="1:6" ht="23.25">
      <c r="A26" s="151" t="s">
        <v>14</v>
      </c>
      <c r="B26" s="152" t="s">
        <v>285</v>
      </c>
      <c r="C26" s="152" t="s">
        <v>286</v>
      </c>
      <c r="D26" s="161"/>
      <c r="E26" s="114" t="s">
        <v>318</v>
      </c>
      <c r="F26" s="105" t="s">
        <v>319</v>
      </c>
    </row>
    <row r="27" spans="1:7" ht="23.25">
      <c r="A27" s="153" t="s">
        <v>301</v>
      </c>
      <c r="B27" s="154">
        <f>28560+26460+24010+22980+28560+18060+17270+26460+20320+19920</f>
        <v>232600</v>
      </c>
      <c r="C27" s="154">
        <f>224600+240590+232600</f>
        <v>697790</v>
      </c>
      <c r="D27" s="164"/>
      <c r="E27" s="154">
        <f>28560+26460+24010+22980+28560+18060+17270+26460</f>
        <v>192360</v>
      </c>
      <c r="F27" s="165">
        <f>20320+19920</f>
        <v>40240</v>
      </c>
      <c r="G27" s="115">
        <f>+E27+F27</f>
        <v>232600</v>
      </c>
    </row>
    <row r="28" spans="1:4" ht="23.25">
      <c r="A28" s="153" t="s">
        <v>302</v>
      </c>
      <c r="B28" s="155">
        <f>4000+3500+3500+3500</f>
        <v>14500</v>
      </c>
      <c r="C28" s="155">
        <f>14500+14500+14500</f>
        <v>43500</v>
      </c>
      <c r="D28" s="162"/>
    </row>
    <row r="29" spans="1:4" ht="23.25">
      <c r="A29" s="153" t="s">
        <v>303</v>
      </c>
      <c r="B29" s="155">
        <v>18480</v>
      </c>
      <c r="C29" s="155">
        <f>17880+19080+18480</f>
        <v>55440</v>
      </c>
      <c r="D29" s="162"/>
    </row>
    <row r="30" spans="1:7" ht="23.25">
      <c r="A30" s="153" t="s">
        <v>304</v>
      </c>
      <c r="B30" s="154">
        <f>9000+9000+12330+12330</f>
        <v>42660</v>
      </c>
      <c r="C30" s="154">
        <f>60660+24660+42660</f>
        <v>127980</v>
      </c>
      <c r="D30" s="162"/>
      <c r="E30" s="154">
        <f>9000+9000</f>
        <v>18000</v>
      </c>
      <c r="F30" s="106">
        <f>12330+12330</f>
        <v>24660</v>
      </c>
      <c r="G30" s="115">
        <f>+E30+F30</f>
        <v>42660</v>
      </c>
    </row>
    <row r="31" spans="1:4" ht="23.25">
      <c r="A31" s="153" t="s">
        <v>305</v>
      </c>
      <c r="B31" s="154">
        <f>1000+1000+955+955</f>
        <v>3910</v>
      </c>
      <c r="C31" s="154">
        <f>1910+5910+3910</f>
        <v>11730</v>
      </c>
      <c r="D31" s="162"/>
    </row>
    <row r="32" spans="1:4" ht="24" thickBot="1">
      <c r="A32" s="156" t="s">
        <v>307</v>
      </c>
      <c r="B32" s="157">
        <f>+SUM(B27:B31)</f>
        <v>312150</v>
      </c>
      <c r="C32" s="157">
        <f>+SUM(C27:C31)</f>
        <v>936440</v>
      </c>
      <c r="D32" s="163"/>
    </row>
  </sheetData>
  <sheetProtection/>
  <mergeCells count="9">
    <mergeCell ref="A23:C23"/>
    <mergeCell ref="A24:C24"/>
    <mergeCell ref="A25:C25"/>
    <mergeCell ref="A1:C1"/>
    <mergeCell ref="A2:C2"/>
    <mergeCell ref="A3:C3"/>
    <mergeCell ref="A13:C13"/>
    <mergeCell ref="A14:C14"/>
    <mergeCell ref="A15:C15"/>
  </mergeCells>
  <printOptions/>
  <pageMargins left="0.984251968503937" right="0.7086614173228347" top="0.6692913385826772" bottom="0.669291338582677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50">
      <selection activeCell="G61" sqref="G61"/>
    </sheetView>
  </sheetViews>
  <sheetFormatPr defaultColWidth="9.140625" defaultRowHeight="12.75"/>
  <cols>
    <col min="1" max="1" width="22.28125" style="105" customWidth="1"/>
    <col min="2" max="2" width="15.8515625" style="113" customWidth="1"/>
    <col min="3" max="3" width="14.140625" style="105" customWidth="1"/>
    <col min="4" max="4" width="11.8515625" style="105" bestFit="1" customWidth="1"/>
    <col min="5" max="5" width="20.7109375" style="105" customWidth="1"/>
    <col min="6" max="6" width="14.28125" style="114" customWidth="1"/>
    <col min="7" max="8" width="10.421875" style="105" bestFit="1" customWidth="1"/>
    <col min="9" max="16384" width="9.140625" style="105" customWidth="1"/>
  </cols>
  <sheetData>
    <row r="1" spans="1:7" ht="31.5" customHeight="1">
      <c r="A1" s="107"/>
      <c r="B1" s="110" t="s">
        <v>224</v>
      </c>
      <c r="C1" s="108" t="s">
        <v>225</v>
      </c>
      <c r="E1" s="113"/>
      <c r="G1" s="105" t="s">
        <v>224</v>
      </c>
    </row>
    <row r="2" spans="1:7" ht="23.25">
      <c r="A2" s="107" t="s">
        <v>24</v>
      </c>
      <c r="B2" s="111">
        <v>46728.8</v>
      </c>
      <c r="C2" s="109">
        <v>46282.86</v>
      </c>
      <c r="D2" s="105" t="s">
        <v>272</v>
      </c>
      <c r="E2" s="105" t="s">
        <v>227</v>
      </c>
      <c r="F2" s="114" t="s">
        <v>226</v>
      </c>
      <c r="G2" s="105" t="s">
        <v>38</v>
      </c>
    </row>
    <row r="3" spans="1:8" ht="23.25">
      <c r="A3" s="107"/>
      <c r="B3" s="120"/>
      <c r="C3" s="107"/>
      <c r="D3" s="105">
        <v>1</v>
      </c>
      <c r="E3" s="105" t="s">
        <v>239</v>
      </c>
      <c r="F3" s="114">
        <v>5</v>
      </c>
      <c r="G3" s="106">
        <v>436</v>
      </c>
      <c r="H3" s="116">
        <f>+SUM(G3:G18)</f>
        <v>7326</v>
      </c>
    </row>
    <row r="4" spans="1:7" ht="23.25">
      <c r="A4" s="107"/>
      <c r="B4" s="120"/>
      <c r="C4" s="107"/>
      <c r="D4" s="105">
        <v>2</v>
      </c>
      <c r="E4" s="105" t="s">
        <v>273</v>
      </c>
      <c r="F4" s="114">
        <v>5</v>
      </c>
      <c r="G4" s="106">
        <v>117.5</v>
      </c>
    </row>
    <row r="5" spans="1:7" ht="23.25">
      <c r="A5" s="107"/>
      <c r="B5" s="120"/>
      <c r="C5" s="107"/>
      <c r="D5" s="105">
        <v>3</v>
      </c>
      <c r="E5" s="105" t="s">
        <v>249</v>
      </c>
      <c r="F5" s="114">
        <v>2</v>
      </c>
      <c r="G5" s="106">
        <v>60</v>
      </c>
    </row>
    <row r="6" spans="4:7" ht="23.25">
      <c r="D6" s="105">
        <v>4</v>
      </c>
      <c r="E6" s="105" t="s">
        <v>277</v>
      </c>
      <c r="F6" s="114">
        <v>5</v>
      </c>
      <c r="G6" s="106">
        <v>378</v>
      </c>
    </row>
    <row r="7" spans="4:7" ht="23.25">
      <c r="D7" s="105">
        <v>5</v>
      </c>
      <c r="E7" s="105" t="s">
        <v>254</v>
      </c>
      <c r="F7" s="114">
        <v>5</v>
      </c>
      <c r="G7" s="106">
        <v>672</v>
      </c>
    </row>
    <row r="8" spans="4:7" ht="23.25">
      <c r="D8" s="105">
        <v>6</v>
      </c>
      <c r="E8" s="105" t="s">
        <v>242</v>
      </c>
      <c r="F8" s="114">
        <v>5</v>
      </c>
      <c r="G8" s="106">
        <v>202</v>
      </c>
    </row>
    <row r="9" spans="4:7" ht="23.25">
      <c r="D9" s="105">
        <v>7</v>
      </c>
      <c r="E9" s="105" t="s">
        <v>233</v>
      </c>
      <c r="F9" s="114">
        <v>2</v>
      </c>
      <c r="G9" s="106">
        <v>187.5</v>
      </c>
    </row>
    <row r="10" spans="4:7" ht="23.25">
      <c r="D10" s="105">
        <v>8</v>
      </c>
      <c r="E10" s="105" t="s">
        <v>235</v>
      </c>
      <c r="F10" s="114">
        <v>5</v>
      </c>
      <c r="G10" s="106">
        <v>180</v>
      </c>
    </row>
    <row r="11" spans="4:7" ht="23.25">
      <c r="D11" s="105">
        <v>9</v>
      </c>
      <c r="E11" s="105" t="s">
        <v>274</v>
      </c>
      <c r="F11" s="114">
        <v>5</v>
      </c>
      <c r="G11" s="106">
        <v>230</v>
      </c>
    </row>
    <row r="12" spans="4:7" ht="23.25">
      <c r="D12" s="105">
        <v>10</v>
      </c>
      <c r="E12" s="105" t="s">
        <v>264</v>
      </c>
      <c r="F12" s="114">
        <v>4</v>
      </c>
      <c r="G12" s="117">
        <v>3750</v>
      </c>
    </row>
    <row r="13" spans="4:7" ht="23.25">
      <c r="D13" s="105">
        <v>11</v>
      </c>
      <c r="G13" s="117">
        <v>124</v>
      </c>
    </row>
    <row r="14" spans="4:7" ht="23.25">
      <c r="D14" s="105">
        <v>12</v>
      </c>
      <c r="E14" s="105" t="s">
        <v>255</v>
      </c>
      <c r="F14" s="114">
        <v>2</v>
      </c>
      <c r="G14" s="106">
        <v>90</v>
      </c>
    </row>
    <row r="15" spans="1:7" ht="23.25">
      <c r="A15" s="119" t="s">
        <v>25</v>
      </c>
      <c r="B15" s="122">
        <v>25170.35</v>
      </c>
      <c r="C15" s="124">
        <v>18258.38</v>
      </c>
      <c r="D15" s="105">
        <v>13</v>
      </c>
      <c r="E15" s="105" t="s">
        <v>228</v>
      </c>
      <c r="F15" s="114">
        <v>8</v>
      </c>
      <c r="G15" s="106">
        <v>157</v>
      </c>
    </row>
    <row r="16" spans="4:7" ht="23.25">
      <c r="D16" s="105">
        <v>14</v>
      </c>
      <c r="E16" s="105" t="s">
        <v>244</v>
      </c>
      <c r="F16" s="114">
        <v>2</v>
      </c>
      <c r="G16" s="106">
        <v>405</v>
      </c>
    </row>
    <row r="17" spans="4:7" ht="23.25">
      <c r="D17" s="105">
        <v>15</v>
      </c>
      <c r="E17" s="105" t="s">
        <v>269</v>
      </c>
      <c r="F17" s="114">
        <v>4</v>
      </c>
      <c r="G17" s="106">
        <v>187</v>
      </c>
    </row>
    <row r="18" spans="4:7" ht="23.25">
      <c r="D18" s="105">
        <v>16</v>
      </c>
      <c r="E18" s="105" t="s">
        <v>275</v>
      </c>
      <c r="F18" s="114">
        <v>2</v>
      </c>
      <c r="G18" s="106">
        <v>150</v>
      </c>
    </row>
    <row r="19" spans="4:8" ht="23.25">
      <c r="D19" s="105">
        <v>17</v>
      </c>
      <c r="E19" s="105" t="s">
        <v>252</v>
      </c>
      <c r="F19" s="114">
        <v>6</v>
      </c>
      <c r="G19" s="106">
        <v>126</v>
      </c>
      <c r="H19" s="116">
        <f>+SUM(G19:G43)</f>
        <v>29911.8</v>
      </c>
    </row>
    <row r="20" spans="4:8" ht="23.25">
      <c r="D20" s="105">
        <v>18</v>
      </c>
      <c r="E20" s="105" t="s">
        <v>256</v>
      </c>
      <c r="F20" s="114">
        <v>1</v>
      </c>
      <c r="G20" s="117">
        <v>8662.5</v>
      </c>
      <c r="H20" s="116"/>
    </row>
    <row r="21" spans="4:7" ht="23.25">
      <c r="D21" s="105">
        <v>19</v>
      </c>
      <c r="E21" s="105" t="s">
        <v>276</v>
      </c>
      <c r="F21" s="114">
        <v>7</v>
      </c>
      <c r="G21" s="106">
        <v>126</v>
      </c>
    </row>
    <row r="22" spans="4:7" ht="23.25">
      <c r="D22" s="105">
        <v>20</v>
      </c>
      <c r="E22" s="105" t="s">
        <v>251</v>
      </c>
      <c r="F22" s="114">
        <v>3</v>
      </c>
      <c r="G22" s="106">
        <v>378</v>
      </c>
    </row>
    <row r="23" spans="4:7" ht="23.25">
      <c r="D23" s="105">
        <v>21</v>
      </c>
      <c r="E23" s="105" t="s">
        <v>268</v>
      </c>
      <c r="F23" s="114">
        <v>4</v>
      </c>
      <c r="G23" s="106">
        <v>936</v>
      </c>
    </row>
    <row r="24" spans="4:7" ht="23.25">
      <c r="D24" s="105">
        <v>22</v>
      </c>
      <c r="E24" s="105" t="s">
        <v>240</v>
      </c>
      <c r="F24" s="114">
        <v>5</v>
      </c>
      <c r="G24" s="106">
        <v>320.5</v>
      </c>
    </row>
    <row r="25" spans="1:7" ht="23.25">
      <c r="A25" s="118" t="s">
        <v>11</v>
      </c>
      <c r="B25" s="121">
        <f>SUM(B22:B24)</f>
        <v>0</v>
      </c>
      <c r="C25" s="123">
        <f>SUM(C22:C24)</f>
        <v>0</v>
      </c>
      <c r="D25" s="105">
        <v>23</v>
      </c>
      <c r="E25" s="105" t="s">
        <v>229</v>
      </c>
      <c r="F25" s="114">
        <v>1</v>
      </c>
      <c r="G25" s="106">
        <v>75</v>
      </c>
    </row>
    <row r="26" spans="4:7" ht="23.25">
      <c r="D26" s="105">
        <v>24</v>
      </c>
      <c r="E26" s="105" t="s">
        <v>238</v>
      </c>
      <c r="F26" s="114">
        <v>1</v>
      </c>
      <c r="G26" s="106">
        <v>270</v>
      </c>
    </row>
    <row r="27" spans="4:7" ht="23.25">
      <c r="D27" s="105">
        <v>25</v>
      </c>
      <c r="E27" s="105" t="s">
        <v>246</v>
      </c>
      <c r="F27" s="114">
        <v>5</v>
      </c>
      <c r="G27" s="117">
        <v>6250</v>
      </c>
    </row>
    <row r="28" spans="4:7" ht="23.25">
      <c r="D28" s="105">
        <v>26</v>
      </c>
      <c r="E28" s="105" t="s">
        <v>257</v>
      </c>
      <c r="F28" s="114">
        <v>1</v>
      </c>
      <c r="G28" s="106">
        <v>7875</v>
      </c>
    </row>
    <row r="29" spans="2:7" ht="23.25">
      <c r="B29" s="112"/>
      <c r="C29" s="106"/>
      <c r="D29" s="105">
        <v>27</v>
      </c>
      <c r="E29" s="105" t="s">
        <v>230</v>
      </c>
      <c r="F29" s="114">
        <v>2</v>
      </c>
      <c r="G29" s="106">
        <v>180</v>
      </c>
    </row>
    <row r="30" spans="4:7" ht="23.25">
      <c r="D30" s="105">
        <v>28</v>
      </c>
      <c r="E30" s="105" t="s">
        <v>248</v>
      </c>
      <c r="F30" s="114">
        <v>8</v>
      </c>
      <c r="G30" s="106">
        <v>1357.5</v>
      </c>
    </row>
    <row r="31" spans="4:7" ht="23.25">
      <c r="D31" s="105">
        <v>29</v>
      </c>
      <c r="E31" s="105" t="s">
        <v>247</v>
      </c>
      <c r="F31" s="114">
        <v>8</v>
      </c>
      <c r="G31" s="106">
        <v>90</v>
      </c>
    </row>
    <row r="32" spans="4:7" ht="23.25">
      <c r="D32" s="105">
        <v>30</v>
      </c>
      <c r="E32" s="105" t="s">
        <v>250</v>
      </c>
      <c r="F32" s="114">
        <v>4</v>
      </c>
      <c r="G32" s="106">
        <v>504</v>
      </c>
    </row>
    <row r="33" spans="4:7" ht="23.25">
      <c r="D33" s="105">
        <v>31</v>
      </c>
      <c r="E33" s="105" t="s">
        <v>261</v>
      </c>
      <c r="F33" s="114">
        <v>4</v>
      </c>
      <c r="G33" s="106">
        <v>420</v>
      </c>
    </row>
    <row r="34" spans="4:7" ht="23.25">
      <c r="D34" s="105">
        <v>32</v>
      </c>
      <c r="E34" s="105" t="s">
        <v>241</v>
      </c>
      <c r="F34" s="114">
        <v>5</v>
      </c>
      <c r="G34" s="106">
        <v>84</v>
      </c>
    </row>
    <row r="35" spans="4:7" ht="23.25">
      <c r="D35" s="105">
        <v>33</v>
      </c>
      <c r="E35" s="105" t="s">
        <v>243</v>
      </c>
      <c r="F35" s="114">
        <v>6</v>
      </c>
      <c r="G35" s="106">
        <v>105</v>
      </c>
    </row>
    <row r="36" spans="4:7" ht="23.25">
      <c r="D36" s="105">
        <v>34</v>
      </c>
      <c r="E36" s="105" t="s">
        <v>278</v>
      </c>
      <c r="F36" s="114">
        <v>5</v>
      </c>
      <c r="G36" s="106">
        <v>168</v>
      </c>
    </row>
    <row r="37" spans="4:7" ht="23.25">
      <c r="D37" s="105">
        <v>35</v>
      </c>
      <c r="E37" s="105" t="s">
        <v>258</v>
      </c>
      <c r="F37" s="114">
        <v>7</v>
      </c>
      <c r="G37" s="106">
        <v>112.5</v>
      </c>
    </row>
    <row r="38" spans="4:7" ht="23.25">
      <c r="D38" s="105">
        <v>35</v>
      </c>
      <c r="E38" s="105" t="s">
        <v>279</v>
      </c>
      <c r="F38" s="114">
        <v>7</v>
      </c>
      <c r="G38" s="106">
        <v>105</v>
      </c>
    </row>
    <row r="39" spans="4:7" ht="23.25">
      <c r="D39" s="105">
        <v>36</v>
      </c>
      <c r="E39" s="105" t="s">
        <v>259</v>
      </c>
      <c r="F39" s="114">
        <v>7</v>
      </c>
      <c r="G39" s="106">
        <v>126</v>
      </c>
    </row>
    <row r="40" spans="4:7" ht="23.25">
      <c r="D40" s="105">
        <v>38</v>
      </c>
      <c r="E40" s="105" t="s">
        <v>262</v>
      </c>
      <c r="F40" s="114">
        <v>3</v>
      </c>
      <c r="G40" s="106">
        <v>1078</v>
      </c>
    </row>
    <row r="41" spans="4:7" ht="23.25">
      <c r="D41" s="105">
        <v>39</v>
      </c>
      <c r="E41" s="105" t="s">
        <v>245</v>
      </c>
      <c r="F41" s="114">
        <v>6</v>
      </c>
      <c r="G41" s="106">
        <v>252</v>
      </c>
    </row>
    <row r="42" spans="2:7" ht="23.25">
      <c r="B42" s="105"/>
      <c r="D42" s="105">
        <v>40</v>
      </c>
      <c r="E42" s="105" t="s">
        <v>231</v>
      </c>
      <c r="F42" s="114">
        <v>5</v>
      </c>
      <c r="G42" s="106">
        <v>252</v>
      </c>
    </row>
    <row r="43" spans="4:7" ht="23.25">
      <c r="D43" s="105">
        <v>41</v>
      </c>
      <c r="E43" s="105" t="s">
        <v>232</v>
      </c>
      <c r="F43" s="114">
        <v>5</v>
      </c>
      <c r="G43" s="106">
        <v>58.8</v>
      </c>
    </row>
    <row r="44" spans="4:8" ht="23.25">
      <c r="D44" s="105">
        <v>42</v>
      </c>
      <c r="E44" s="105" t="s">
        <v>260</v>
      </c>
      <c r="F44" s="114">
        <v>5</v>
      </c>
      <c r="G44" s="106">
        <v>126</v>
      </c>
      <c r="H44" s="116">
        <f>+SUM(G44:G56)</f>
        <v>2795.5</v>
      </c>
    </row>
    <row r="45" spans="4:9" ht="23.25">
      <c r="D45" s="105">
        <v>43</v>
      </c>
      <c r="E45" s="105" t="s">
        <v>236</v>
      </c>
      <c r="F45" s="114">
        <v>6</v>
      </c>
      <c r="G45" s="106">
        <v>135</v>
      </c>
      <c r="H45" s="115"/>
      <c r="I45" s="115"/>
    </row>
    <row r="46" spans="4:7" ht="23.25">
      <c r="D46" s="105">
        <v>44</v>
      </c>
      <c r="E46" s="105" t="s">
        <v>280</v>
      </c>
      <c r="F46" s="114">
        <v>3</v>
      </c>
      <c r="G46" s="106">
        <v>200</v>
      </c>
    </row>
    <row r="47" spans="4:7" ht="23.25">
      <c r="D47" s="105">
        <v>45</v>
      </c>
      <c r="E47" s="105" t="s">
        <v>253</v>
      </c>
      <c r="F47" s="114">
        <v>5</v>
      </c>
      <c r="G47" s="106">
        <v>45</v>
      </c>
    </row>
    <row r="48" spans="4:7" ht="23.25">
      <c r="D48" s="105">
        <v>46</v>
      </c>
      <c r="E48" s="105" t="s">
        <v>234</v>
      </c>
      <c r="F48" s="114">
        <v>3</v>
      </c>
      <c r="G48" s="106">
        <v>294</v>
      </c>
    </row>
    <row r="49" spans="4:7" ht="23.25">
      <c r="D49" s="105">
        <v>47</v>
      </c>
      <c r="E49" s="105" t="s">
        <v>281</v>
      </c>
      <c r="F49" s="114">
        <v>3</v>
      </c>
      <c r="G49" s="106">
        <v>465</v>
      </c>
    </row>
    <row r="50" spans="4:7" ht="23.25">
      <c r="D50" s="105">
        <v>48</v>
      </c>
      <c r="E50" s="105" t="s">
        <v>237</v>
      </c>
      <c r="F50" s="114">
        <v>3</v>
      </c>
      <c r="G50" s="106">
        <v>257.5</v>
      </c>
    </row>
    <row r="51" spans="4:7" ht="23.25">
      <c r="D51" s="105">
        <v>49</v>
      </c>
      <c r="E51" s="105" t="s">
        <v>267</v>
      </c>
      <c r="F51" s="114">
        <v>4</v>
      </c>
      <c r="G51" s="106">
        <v>378</v>
      </c>
    </row>
    <row r="52" spans="4:7" ht="23.25">
      <c r="D52" s="105">
        <v>50</v>
      </c>
      <c r="E52" s="105" t="s">
        <v>266</v>
      </c>
      <c r="F52" s="114">
        <v>3</v>
      </c>
      <c r="G52" s="106">
        <v>220.5</v>
      </c>
    </row>
    <row r="53" spans="4:7" ht="23.25">
      <c r="D53" s="105">
        <v>51</v>
      </c>
      <c r="E53" s="105" t="s">
        <v>282</v>
      </c>
      <c r="F53" s="114">
        <v>2</v>
      </c>
      <c r="G53" s="106">
        <v>67.5</v>
      </c>
    </row>
    <row r="54" spans="4:7" ht="23.25">
      <c r="D54" s="105">
        <v>52</v>
      </c>
      <c r="E54" s="105" t="s">
        <v>263</v>
      </c>
      <c r="F54" s="114">
        <v>3</v>
      </c>
      <c r="G54" s="106">
        <v>478</v>
      </c>
    </row>
    <row r="55" spans="4:7" ht="23.25">
      <c r="D55" s="105">
        <v>53</v>
      </c>
      <c r="E55" s="105" t="s">
        <v>283</v>
      </c>
      <c r="F55" s="114">
        <v>5</v>
      </c>
      <c r="G55" s="106">
        <v>45</v>
      </c>
    </row>
    <row r="56" spans="4:7" ht="23.25">
      <c r="D56" s="105">
        <v>54</v>
      </c>
      <c r="E56" s="105" t="s">
        <v>270</v>
      </c>
      <c r="F56" s="114">
        <v>8</v>
      </c>
      <c r="G56" s="106">
        <v>84</v>
      </c>
    </row>
    <row r="57" spans="4:8" ht="23.25">
      <c r="D57" s="105">
        <v>55</v>
      </c>
      <c r="E57" s="105" t="s">
        <v>246</v>
      </c>
      <c r="F57" s="114">
        <v>3</v>
      </c>
      <c r="G57" s="117">
        <v>6250</v>
      </c>
      <c r="H57" s="116">
        <f>+G57</f>
        <v>6250</v>
      </c>
    </row>
    <row r="58" spans="4:7" ht="23.25">
      <c r="D58" s="105">
        <v>56</v>
      </c>
      <c r="E58" s="105" t="s">
        <v>271</v>
      </c>
      <c r="F58" s="114">
        <v>4</v>
      </c>
      <c r="G58" s="106">
        <v>367.5</v>
      </c>
    </row>
    <row r="59" spans="4:8" ht="23.25">
      <c r="D59" s="105">
        <v>57</v>
      </c>
      <c r="E59" s="105" t="s">
        <v>265</v>
      </c>
      <c r="F59" s="114">
        <v>6</v>
      </c>
      <c r="G59" s="117">
        <v>78</v>
      </c>
      <c r="H59" s="105">
        <v>78</v>
      </c>
    </row>
    <row r="60" ht="23.25">
      <c r="G60" s="106">
        <f>SUM(G3:G59)</f>
        <v>46728.8</v>
      </c>
    </row>
    <row r="62" ht="23.25">
      <c r="G62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new25072016</cp:lastModifiedBy>
  <cp:lastPrinted>2017-01-09T02:18:40Z</cp:lastPrinted>
  <dcterms:created xsi:type="dcterms:W3CDTF">1996-10-14T23:33:28Z</dcterms:created>
  <dcterms:modified xsi:type="dcterms:W3CDTF">2017-01-09T02:18:42Z</dcterms:modified>
  <cp:category/>
  <cp:version/>
  <cp:contentType/>
  <cp:contentStatus/>
</cp:coreProperties>
</file>